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lanning Policy\New Local Plan\Supplementary Planning Documents\Open Space 2018\"/>
    </mc:Choice>
  </mc:AlternateContent>
  <bookViews>
    <workbookView xWindow="0" yWindow="0" windowWidth="20430" windowHeight="7050"/>
  </bookViews>
  <sheets>
    <sheet name="Introduction" sheetId="12" r:id="rId1"/>
    <sheet name="Calculator" sheetId="7" r:id="rId2"/>
    <sheet name="PPS Data" sheetId="4" r:id="rId3"/>
    <sheet name="Workings Explained" sheetId="13" r:id="rId4"/>
    <sheet name="Workings" sheetId="5" r:id="rId5"/>
    <sheet name="Priorities" sheetId="14" r:id="rId6"/>
  </sheets>
  <externalReferences>
    <externalReference r:id="rId7"/>
  </externalReferences>
  <definedNames>
    <definedName name="Popn">[1]Start!$A$30:$V$40</definedName>
    <definedName name="_xlnm.Print_Area" localSheetId="1">Calculator!$B$2:$K$65</definedName>
    <definedName name="_xlnm.Print_Area" localSheetId="0">Introduction!$B$2:$D$5</definedName>
    <definedName name="_xlnm.Print_Area" localSheetId="2">'PPS Data'!$B$2:$I$38</definedName>
    <definedName name="_xlnm.Print_Area" localSheetId="4">Workings!$B$2:$AH$378</definedName>
    <definedName name="_xlnm.Print_Area" localSheetId="3">'Workings Explained'!$B$2:$E$37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5" l="1"/>
  <c r="N8" i="5" l="1"/>
  <c r="N9" i="5"/>
  <c r="N10" i="5"/>
  <c r="N11" i="5"/>
  <c r="N12" i="5"/>
  <c r="N13" i="5"/>
  <c r="N14" i="5"/>
  <c r="N15" i="5"/>
  <c r="N16" i="5"/>
  <c r="N17" i="5"/>
  <c r="N18" i="5"/>
  <c r="N19" i="5"/>
  <c r="N20" i="5"/>
  <c r="N21" i="5"/>
  <c r="N22" i="5"/>
  <c r="N23" i="5"/>
  <c r="N24" i="5"/>
  <c r="N25" i="5"/>
  <c r="N26" i="5"/>
  <c r="N27" i="5"/>
  <c r="N28" i="5"/>
  <c r="N29" i="5"/>
  <c r="N30" i="5"/>
  <c r="N31" i="5"/>
  <c r="N32" i="5"/>
  <c r="N7" i="5"/>
  <c r="F7" i="5"/>
  <c r="G251" i="5" l="1"/>
  <c r="G236" i="5"/>
  <c r="G223" i="5"/>
  <c r="G213" i="5" l="1"/>
  <c r="G41" i="5" l="1"/>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4" i="5"/>
  <c r="G215" i="5"/>
  <c r="G216" i="5"/>
  <c r="G217" i="5"/>
  <c r="G218" i="5"/>
  <c r="G219" i="5"/>
  <c r="G220" i="5"/>
  <c r="G221" i="5"/>
  <c r="G222" i="5"/>
  <c r="G224" i="5"/>
  <c r="G225" i="5"/>
  <c r="G226" i="5"/>
  <c r="G227" i="5"/>
  <c r="G228" i="5"/>
  <c r="G229" i="5"/>
  <c r="G230" i="5"/>
  <c r="G231" i="5"/>
  <c r="G232" i="5"/>
  <c r="G233" i="5"/>
  <c r="G234" i="5"/>
  <c r="G235" i="5"/>
  <c r="G237" i="5"/>
  <c r="G238" i="5"/>
  <c r="G239" i="5"/>
  <c r="G240" i="5"/>
  <c r="G241" i="5"/>
  <c r="G242" i="5"/>
  <c r="G243" i="5"/>
  <c r="G244" i="5"/>
  <c r="G245" i="5"/>
  <c r="G246" i="5"/>
  <c r="G247" i="5"/>
  <c r="G248" i="5"/>
  <c r="G249" i="5"/>
  <c r="G250"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F8" i="5"/>
  <c r="G8" i="5" s="1"/>
  <c r="F9" i="5"/>
  <c r="G9" i="5" s="1"/>
  <c r="F10" i="5"/>
  <c r="G10" i="5" s="1"/>
  <c r="F11" i="5"/>
  <c r="G11" i="5" s="1"/>
  <c r="F12" i="5"/>
  <c r="G12" i="5" s="1"/>
  <c r="F13" i="5"/>
  <c r="G13" i="5" s="1"/>
  <c r="F14" i="5"/>
  <c r="G14" i="5" s="1"/>
  <c r="F15" i="5"/>
  <c r="G15" i="5" s="1"/>
  <c r="F16" i="5"/>
  <c r="G16" i="5" s="1"/>
  <c r="F17" i="5"/>
  <c r="G17" i="5" s="1"/>
  <c r="F18" i="5"/>
  <c r="G18" i="5" s="1"/>
  <c r="F19" i="5"/>
  <c r="G19" i="5" s="1"/>
  <c r="F20" i="5"/>
  <c r="G20" i="5" s="1"/>
  <c r="F21" i="5"/>
  <c r="G21" i="5" s="1"/>
  <c r="F22" i="5"/>
  <c r="G22" i="5" s="1"/>
  <c r="F23" i="5"/>
  <c r="G23" i="5" s="1"/>
  <c r="F24" i="5"/>
  <c r="G24" i="5" s="1"/>
  <c r="F25" i="5"/>
  <c r="G25" i="5" s="1"/>
  <c r="F26" i="5"/>
  <c r="G26" i="5" s="1"/>
  <c r="F27" i="5"/>
  <c r="G27" i="5" s="1"/>
  <c r="F28" i="5"/>
  <c r="G28" i="5" s="1"/>
  <c r="F29" i="5"/>
  <c r="G29" i="5" s="1"/>
  <c r="F30" i="5"/>
  <c r="G30" i="5" s="1"/>
  <c r="F31" i="5"/>
  <c r="G31" i="5" s="1"/>
  <c r="F32" i="5"/>
  <c r="G32" i="5" s="1"/>
  <c r="G7" i="5"/>
  <c r="I7" i="5" s="1"/>
  <c r="I8" i="5" l="1"/>
  <c r="I9" i="5"/>
  <c r="J9" i="5" s="1"/>
  <c r="L9" i="5" s="1"/>
  <c r="I10" i="5"/>
  <c r="I11" i="5"/>
  <c r="M11" i="5" s="1"/>
  <c r="I12" i="5"/>
  <c r="I13" i="5"/>
  <c r="I14" i="5"/>
  <c r="I15" i="5"/>
  <c r="M15" i="5" s="1"/>
  <c r="I16" i="5"/>
  <c r="J16" i="5" s="1"/>
  <c r="L16" i="5" s="1"/>
  <c r="O16" i="5" s="1"/>
  <c r="Q16" i="5" s="1"/>
  <c r="I17" i="5"/>
  <c r="J17" i="5" s="1"/>
  <c r="L17" i="5" s="1"/>
  <c r="O17" i="5" s="1"/>
  <c r="Q17" i="5" s="1"/>
  <c r="I18" i="5"/>
  <c r="J18" i="5" s="1"/>
  <c r="L18" i="5" s="1"/>
  <c r="O18" i="5" s="1"/>
  <c r="Q18" i="5" s="1"/>
  <c r="I19" i="5"/>
  <c r="M19" i="5" s="1"/>
  <c r="I20" i="5"/>
  <c r="J20" i="5" s="1"/>
  <c r="L20" i="5" s="1"/>
  <c r="I21" i="5"/>
  <c r="J21" i="5" s="1"/>
  <c r="I22" i="5"/>
  <c r="J22" i="5" s="1"/>
  <c r="I23" i="5"/>
  <c r="I24" i="5"/>
  <c r="J24" i="5" s="1"/>
  <c r="L24" i="5" s="1"/>
  <c r="I25" i="5"/>
  <c r="J25" i="5" s="1"/>
  <c r="L25" i="5" s="1"/>
  <c r="I26" i="5"/>
  <c r="M26" i="5" s="1"/>
  <c r="I27" i="5"/>
  <c r="J27" i="5" s="1"/>
  <c r="I28" i="5"/>
  <c r="I29" i="5"/>
  <c r="J29" i="5" s="1"/>
  <c r="L29" i="5" s="1"/>
  <c r="I30" i="5"/>
  <c r="J30" i="5" s="1"/>
  <c r="L30" i="5" s="1"/>
  <c r="I31" i="5"/>
  <c r="M31" i="5" s="1"/>
  <c r="I32" i="5"/>
  <c r="J32" i="5" s="1"/>
  <c r="L32" i="5" s="1"/>
  <c r="L22" i="5" l="1"/>
  <c r="O22" i="5" s="1"/>
  <c r="Q22" i="5" s="1"/>
  <c r="L21" i="5"/>
  <c r="O21" i="5" s="1"/>
  <c r="Q21" i="5" s="1"/>
  <c r="L27" i="5"/>
  <c r="O27" i="5" s="1"/>
  <c r="Q27" i="5" s="1"/>
  <c r="O29" i="5"/>
  <c r="O25" i="5"/>
  <c r="Q25" i="5" s="1"/>
  <c r="O9" i="5"/>
  <c r="Q9" i="5" s="1"/>
  <c r="O32" i="5"/>
  <c r="Q32" i="5" s="1"/>
  <c r="O24" i="5"/>
  <c r="Q24" i="5" s="1"/>
  <c r="O20" i="5"/>
  <c r="Q20" i="5" s="1"/>
  <c r="O30" i="5"/>
  <c r="Q30" i="5" s="1"/>
  <c r="M16" i="5"/>
  <c r="J28" i="5"/>
  <c r="M28" i="5"/>
  <c r="M25" i="5"/>
  <c r="M24" i="5"/>
  <c r="M22" i="5"/>
  <c r="M27" i="5"/>
  <c r="M21" i="5"/>
  <c r="M18" i="5"/>
  <c r="J13" i="5"/>
  <c r="L13" i="5" s="1"/>
  <c r="M13" i="5"/>
  <c r="J8" i="5"/>
  <c r="L8" i="5" s="1"/>
  <c r="O8" i="5" s="1"/>
  <c r="Q8" i="5" s="1"/>
  <c r="M8" i="5"/>
  <c r="J7" i="5"/>
  <c r="L7" i="5" s="1"/>
  <c r="O7" i="5" s="1"/>
  <c r="Q7" i="5" s="1"/>
  <c r="M7" i="5"/>
  <c r="J12" i="5"/>
  <c r="L12" i="5" s="1"/>
  <c r="O12" i="5" s="1"/>
  <c r="Q12" i="5" s="1"/>
  <c r="M12" i="5"/>
  <c r="J14" i="5"/>
  <c r="L14" i="5" s="1"/>
  <c r="O14" i="5" s="1"/>
  <c r="Q14" i="5" s="1"/>
  <c r="M14" i="5"/>
  <c r="M10" i="5"/>
  <c r="J10" i="5"/>
  <c r="L10" i="5" s="1"/>
  <c r="O10" i="5" s="1"/>
  <c r="Q10" i="5" s="1"/>
  <c r="M17" i="5"/>
  <c r="M29" i="5"/>
  <c r="J19" i="5"/>
  <c r="L19" i="5" s="1"/>
  <c r="M20" i="5"/>
  <c r="M9" i="5"/>
  <c r="J26" i="5"/>
  <c r="J15" i="5"/>
  <c r="L15" i="5" s="1"/>
  <c r="O15" i="5" s="1"/>
  <c r="J11" i="5"/>
  <c r="L11" i="5" s="1"/>
  <c r="O11" i="5" s="1"/>
  <c r="Q11" i="5" s="1"/>
  <c r="M32" i="5"/>
  <c r="M23" i="5"/>
  <c r="J23" i="5"/>
  <c r="M30" i="5"/>
  <c r="J31" i="5"/>
  <c r="L31" i="5" s="1"/>
  <c r="O31" i="5" s="1"/>
  <c r="Q31" i="5" s="1"/>
  <c r="R7" i="5" l="1"/>
  <c r="R9" i="5"/>
  <c r="AB9" i="5" s="1"/>
  <c r="U7" i="5"/>
  <c r="G45" i="7" s="1"/>
  <c r="U9" i="5"/>
  <c r="G46" i="7" s="1"/>
  <c r="D46" i="7"/>
  <c r="D45" i="7"/>
  <c r="Q29" i="5"/>
  <c r="O13" i="5"/>
  <c r="Q13" i="5" s="1"/>
  <c r="R13" i="5" s="1"/>
  <c r="L28" i="5"/>
  <c r="L26" i="5"/>
  <c r="O26" i="5" s="1"/>
  <c r="Q26" i="5" s="1"/>
  <c r="L23" i="5"/>
  <c r="O19" i="5"/>
  <c r="D22" i="7"/>
  <c r="D18" i="7"/>
  <c r="R29" i="5" l="1"/>
  <c r="U29" i="5"/>
  <c r="G50" i="7" s="1"/>
  <c r="Q19" i="5"/>
  <c r="U13" i="5"/>
  <c r="G47" i="7" s="1"/>
  <c r="D50" i="7"/>
  <c r="D47" i="7"/>
  <c r="Q15" i="5"/>
  <c r="R15" i="5" s="1"/>
  <c r="O23" i="5"/>
  <c r="D20" i="7" s="1"/>
  <c r="O28" i="5"/>
  <c r="Q28" i="5" s="1"/>
  <c r="D17" i="7"/>
  <c r="W9" i="5"/>
  <c r="X9" i="5"/>
  <c r="D19" i="7"/>
  <c r="D23" i="7"/>
  <c r="AB7" i="5"/>
  <c r="D49" i="7" l="1"/>
  <c r="R24" i="5"/>
  <c r="U15" i="5"/>
  <c r="G51" i="7" s="1"/>
  <c r="U24" i="5"/>
  <c r="G49" i="7" s="1"/>
  <c r="X7" i="5"/>
  <c r="D51" i="7"/>
  <c r="W29" i="5"/>
  <c r="X29" i="5"/>
  <c r="Q23" i="5"/>
  <c r="O33" i="5"/>
  <c r="D21" i="7"/>
  <c r="Y9" i="5"/>
  <c r="I46" i="7" s="1"/>
  <c r="W7" i="5"/>
  <c r="D60" i="7"/>
  <c r="D59" i="7"/>
  <c r="G59" i="7"/>
  <c r="AD9" i="5"/>
  <c r="AE9" i="5"/>
  <c r="D58" i="7"/>
  <c r="Q33" i="5" l="1"/>
  <c r="D43" i="7" s="1"/>
  <c r="R19" i="5"/>
  <c r="R33" i="5" s="1"/>
  <c r="AB29" i="5"/>
  <c r="G63" i="7" s="1"/>
  <c r="D63" i="7"/>
  <c r="U19" i="5"/>
  <c r="Y7" i="5"/>
  <c r="I45" i="7" s="1"/>
  <c r="D48" i="7"/>
  <c r="Y29" i="5"/>
  <c r="I50" i="7" s="1"/>
  <c r="W24" i="5"/>
  <c r="AB24" i="5"/>
  <c r="AE24" i="5" s="1"/>
  <c r="X24" i="5"/>
  <c r="AB13" i="5"/>
  <c r="W13" i="5"/>
  <c r="X13" i="5"/>
  <c r="AF9" i="5"/>
  <c r="I59" i="7" s="1"/>
  <c r="AE7" i="5"/>
  <c r="AD7" i="5"/>
  <c r="G58" i="7"/>
  <c r="AE29" i="5" l="1"/>
  <c r="AD29" i="5"/>
  <c r="U33" i="5"/>
  <c r="G43" i="7" s="1"/>
  <c r="G48" i="7"/>
  <c r="D64" i="7"/>
  <c r="AB15" i="5"/>
  <c r="Y24" i="5"/>
  <c r="I49" i="7" s="1"/>
  <c r="X15" i="5"/>
  <c r="W15" i="5"/>
  <c r="D62" i="7"/>
  <c r="G62" i="7"/>
  <c r="AD24" i="5"/>
  <c r="AF24" i="5" s="1"/>
  <c r="I62" i="7" s="1"/>
  <c r="G60" i="7"/>
  <c r="AD13" i="5"/>
  <c r="AE13" i="5"/>
  <c r="Y13" i="5"/>
  <c r="AF7" i="5"/>
  <c r="AF29" i="5" l="1"/>
  <c r="I63" i="7" s="1"/>
  <c r="Y15" i="5"/>
  <c r="I51" i="7" s="1"/>
  <c r="D61" i="7"/>
  <c r="AB19" i="5"/>
  <c r="D57" i="7"/>
  <c r="W19" i="5"/>
  <c r="X19" i="5"/>
  <c r="X33" i="5" s="1"/>
  <c r="AD15" i="5"/>
  <c r="AE15" i="5"/>
  <c r="G64" i="7"/>
  <c r="AF13" i="5"/>
  <c r="I60" i="7" s="1"/>
  <c r="I47" i="7"/>
  <c r="I58" i="7"/>
  <c r="Y19" i="5" l="1"/>
  <c r="W33" i="5"/>
  <c r="AF15" i="5"/>
  <c r="I64" i="7" s="1"/>
  <c r="G61" i="7"/>
  <c r="AE19" i="5"/>
  <c r="AE33" i="5" s="1"/>
  <c r="AD19" i="5"/>
  <c r="AB33" i="5"/>
  <c r="G57" i="7" s="1"/>
  <c r="I48" i="7" l="1"/>
  <c r="Y33" i="5"/>
  <c r="I43" i="7" s="1"/>
  <c r="AF19" i="5"/>
  <c r="AD33" i="5"/>
  <c r="I61" i="7" l="1"/>
  <c r="AF33" i="5"/>
  <c r="I57" i="7" s="1"/>
</calcChain>
</file>

<file path=xl/sharedStrings.xml><?xml version="1.0" encoding="utf-8"?>
<sst xmlns="http://schemas.openxmlformats.org/spreadsheetml/2006/main" count="990" uniqueCount="574">
  <si>
    <t>Sport and Age Groups</t>
  </si>
  <si>
    <t>Football Adult Men 11v11 (16-45yrs)</t>
  </si>
  <si>
    <t>Football Adult Women 11v11 (16-45yrs)</t>
  </si>
  <si>
    <t>Football Youth Boys11v11 (12-15yrs)</t>
  </si>
  <si>
    <t>Football Youth Girls 11v11 (12-15yrs)</t>
  </si>
  <si>
    <t>Football Youth Boys 9v9 (10-11yrs)</t>
  </si>
  <si>
    <t>Football Youth Girls 9v9 (10-11yrs)</t>
  </si>
  <si>
    <t>Football Mini Soccer Mixed 7v7 (8-9yrs)</t>
  </si>
  <si>
    <t>Football Mini Soccer Mixed 5v5 (6-7yrs)</t>
  </si>
  <si>
    <t>Cricket Open Age Mens (18-55yrs)</t>
  </si>
  <si>
    <t>Cricket Open Age Womens (18-55yrs)</t>
  </si>
  <si>
    <t>Cricket Junior Boys (7-18yrs)</t>
  </si>
  <si>
    <t>Cricket Junior Girls (7-18yrs)</t>
  </si>
  <si>
    <t>Rugby Union Senior Men (19-45yrs)</t>
  </si>
  <si>
    <t>Rugby Union Senior Women (19-45yrs)</t>
  </si>
  <si>
    <t>Rugby Union Youth Boys (13-18yrs)</t>
  </si>
  <si>
    <t>Rugby Union Youth Girls (13-18yrs)</t>
  </si>
  <si>
    <t>Rugby Union Mini/Midi Mixed (7-12yrs)</t>
  </si>
  <si>
    <t>Rugby League Adult Men (19-45yrs)</t>
  </si>
  <si>
    <t>Rugby League Adult Women (19-45yrs)</t>
  </si>
  <si>
    <t>Rugby League Youth &amp; Junior Boys (12-18yrs)</t>
  </si>
  <si>
    <t>Rugby League Junior Girls (12-18yrs)</t>
  </si>
  <si>
    <t>Rugby League Primary Mixed (7-11yrs)</t>
  </si>
  <si>
    <t>Hockey Senior Men (16-55yrs)</t>
  </si>
  <si>
    <t>Hockey Senior Women (16-55yrs)</t>
  </si>
  <si>
    <t>Hockey Junior Boys (11-15yrs)</t>
  </si>
  <si>
    <t>Hockey Junior Girls (11-15yrs)</t>
  </si>
  <si>
    <t>Training session generated (once a week)</t>
  </si>
  <si>
    <t>Pitch Capital Cost 
(Q1 2015)</t>
  </si>
  <si>
    <t>Capital cost for no. of pitches generated by new population</t>
  </si>
  <si>
    <t>Total</t>
  </si>
  <si>
    <t>Life cycle costs for no. of pitches generated by new population</t>
  </si>
  <si>
    <t>Pitch sinking fund cost (annual)</t>
  </si>
  <si>
    <t>Pitch maintenance cost (annual)</t>
  </si>
  <si>
    <t>Sporting Age Groups</t>
  </si>
  <si>
    <t>No. of teams generated by the new population</t>
  </si>
  <si>
    <t>Adur</t>
  </si>
  <si>
    <t>Allerdale</t>
  </si>
  <si>
    <t>Amber Valley</t>
  </si>
  <si>
    <t>Arun</t>
  </si>
  <si>
    <t>Ashfield</t>
  </si>
  <si>
    <t>Ashford</t>
  </si>
  <si>
    <t>Aylesbury Vale</t>
  </si>
  <si>
    <t>Babergh</t>
  </si>
  <si>
    <t>Barking &amp; Dagenham</t>
  </si>
  <si>
    <t>Barnet</t>
  </si>
  <si>
    <t>Barnsley</t>
  </si>
  <si>
    <t>Barrow In Furness</t>
  </si>
  <si>
    <t>Basildon</t>
  </si>
  <si>
    <t>Basingstoke &amp; Deane</t>
  </si>
  <si>
    <t>Bassetlaw</t>
  </si>
  <si>
    <t>Bath &amp; NE Somerset</t>
  </si>
  <si>
    <t>Bedford</t>
  </si>
  <si>
    <t>Bexley</t>
  </si>
  <si>
    <t>Birmingham</t>
  </si>
  <si>
    <t>Blaby</t>
  </si>
  <si>
    <t>Blackburn with Darwen</t>
  </si>
  <si>
    <t>Blackpool</t>
  </si>
  <si>
    <t>Bolsover</t>
  </si>
  <si>
    <t>Bolton</t>
  </si>
  <si>
    <t>Boston</t>
  </si>
  <si>
    <t>Bournemouth</t>
  </si>
  <si>
    <t>Bracknell Forest</t>
  </si>
  <si>
    <t>Bradford</t>
  </si>
  <si>
    <t>Braintree</t>
  </si>
  <si>
    <t>Breckland</t>
  </si>
  <si>
    <t>Brent</t>
  </si>
  <si>
    <t>Brentwood</t>
  </si>
  <si>
    <t>Brighton &amp; Hove</t>
  </si>
  <si>
    <t>Bristol</t>
  </si>
  <si>
    <t>Broadland</t>
  </si>
  <si>
    <t>Broads National Park</t>
  </si>
  <si>
    <t>Bromley</t>
  </si>
  <si>
    <t>Bromsgrove</t>
  </si>
  <si>
    <t>Broxbourne</t>
  </si>
  <si>
    <t>Broxtowe</t>
  </si>
  <si>
    <t>Burnley</t>
  </si>
  <si>
    <t>Bury</t>
  </si>
  <si>
    <t>Calderdale</t>
  </si>
  <si>
    <t>Cambridge</t>
  </si>
  <si>
    <t>Camden</t>
  </si>
  <si>
    <t>Cannock Chase</t>
  </si>
  <si>
    <t>Canterbury</t>
  </si>
  <si>
    <t>Carlisle</t>
  </si>
  <si>
    <t>Castle Point</t>
  </si>
  <si>
    <t>Central Bedfordshire</t>
  </si>
  <si>
    <t>Charnwood</t>
  </si>
  <si>
    <t>Chelmsford</t>
  </si>
  <si>
    <t>Cheltenham</t>
  </si>
  <si>
    <t>Cherwell</t>
  </si>
  <si>
    <t>Cheshire East</t>
  </si>
  <si>
    <t>Cheshire West &amp; Chester</t>
  </si>
  <si>
    <t>Chesterfield</t>
  </si>
  <si>
    <t>Chichester</t>
  </si>
  <si>
    <t>Chiltern</t>
  </si>
  <si>
    <t>Chorley</t>
  </si>
  <si>
    <t>Christchurch</t>
  </si>
  <si>
    <t>City of London</t>
  </si>
  <si>
    <t>City of Westminster</t>
  </si>
  <si>
    <t>Colchester</t>
  </si>
  <si>
    <t>Copeland</t>
  </si>
  <si>
    <t>Corby</t>
  </si>
  <si>
    <t>Cornwall</t>
  </si>
  <si>
    <t>Cotswold</t>
  </si>
  <si>
    <t>County Durham</t>
  </si>
  <si>
    <t>Coventry</t>
  </si>
  <si>
    <t>Craven</t>
  </si>
  <si>
    <t>Crawley</t>
  </si>
  <si>
    <t>Croydon</t>
  </si>
  <si>
    <t>Dacorum</t>
  </si>
  <si>
    <t>Darlington</t>
  </si>
  <si>
    <t>Dartford</t>
  </si>
  <si>
    <t>Dartmoor National Park</t>
  </si>
  <si>
    <t>Daventry</t>
  </si>
  <si>
    <t>Derby</t>
  </si>
  <si>
    <t>Derbyshire Dales</t>
  </si>
  <si>
    <t>Doncaster</t>
  </si>
  <si>
    <t>Dover</t>
  </si>
  <si>
    <t>Dudley</t>
  </si>
  <si>
    <t>Ealing</t>
  </si>
  <si>
    <t>East Cambridgeshire</t>
  </si>
  <si>
    <t>East Devon</t>
  </si>
  <si>
    <t>East Dorset</t>
  </si>
  <si>
    <t>East Hampshire</t>
  </si>
  <si>
    <t>East Herts</t>
  </si>
  <si>
    <t>East Lindsey</t>
  </si>
  <si>
    <t>East Northants</t>
  </si>
  <si>
    <t>East Riding</t>
  </si>
  <si>
    <t>East Staffordshire</t>
  </si>
  <si>
    <t>Eastbourne</t>
  </si>
  <si>
    <t>Eastleigh</t>
  </si>
  <si>
    <t>Eden</t>
  </si>
  <si>
    <t>Elmbridge</t>
  </si>
  <si>
    <t>Enfield</t>
  </si>
  <si>
    <t>Epping Forest</t>
  </si>
  <si>
    <t>Epsom &amp; Ewell</t>
  </si>
  <si>
    <t>Erewash</t>
  </si>
  <si>
    <t>Exeter</t>
  </si>
  <si>
    <t>Exmoor National Park</t>
  </si>
  <si>
    <t>Fareham</t>
  </si>
  <si>
    <t>Fenland</t>
  </si>
  <si>
    <t>Forest Heath</t>
  </si>
  <si>
    <t>Forest of Dean</t>
  </si>
  <si>
    <t>Fylde</t>
  </si>
  <si>
    <t>Gateshead</t>
  </si>
  <si>
    <t>Gedling</t>
  </si>
  <si>
    <t>Gloucester City</t>
  </si>
  <si>
    <t>Gosport</t>
  </si>
  <si>
    <t>Gravesham</t>
  </si>
  <si>
    <t>Great Yarmouth</t>
  </si>
  <si>
    <t>Greenwich</t>
  </si>
  <si>
    <t>Guildford</t>
  </si>
  <si>
    <t>Hackney</t>
  </si>
  <si>
    <t>Halton</t>
  </si>
  <si>
    <t>Hambleton</t>
  </si>
  <si>
    <t>Hammersmith &amp; Fulham</t>
  </si>
  <si>
    <t>Harborough</t>
  </si>
  <si>
    <t>Haringey</t>
  </si>
  <si>
    <t>Harlow</t>
  </si>
  <si>
    <t>Harrogate</t>
  </si>
  <si>
    <t>Harrow</t>
  </si>
  <si>
    <t>Hart</t>
  </si>
  <si>
    <t>Hartlepool</t>
  </si>
  <si>
    <t>Hastings</t>
  </si>
  <si>
    <t>Havant</t>
  </si>
  <si>
    <t>Havering</t>
  </si>
  <si>
    <t>Herefordshire</t>
  </si>
  <si>
    <t>Hertsmere</t>
  </si>
  <si>
    <t>High Peak</t>
  </si>
  <si>
    <t>Hillingdon</t>
  </si>
  <si>
    <t>Hinkley &amp; Bosworth</t>
  </si>
  <si>
    <t>Horsham</t>
  </si>
  <si>
    <t>Hounslow</t>
  </si>
  <si>
    <t>Hull</t>
  </si>
  <si>
    <t>Huntingdonshire</t>
  </si>
  <si>
    <t>Hyndburn</t>
  </si>
  <si>
    <t>Ipswich</t>
  </si>
  <si>
    <t>Isle Of Wight</t>
  </si>
  <si>
    <t>Isles of Scilly</t>
  </si>
  <si>
    <t>Islington</t>
  </si>
  <si>
    <t>Kensington &amp; Chelsea</t>
  </si>
  <si>
    <t>Kettering</t>
  </si>
  <si>
    <t>Kings Lynn &amp; West Norfolk</t>
  </si>
  <si>
    <t>Kingston Upon Thames</t>
  </si>
  <si>
    <t>Kirklees</t>
  </si>
  <si>
    <t>Knowsley</t>
  </si>
  <si>
    <t>Lake District National Park</t>
  </si>
  <si>
    <t>Lambeth</t>
  </si>
  <si>
    <t>Lancaster</t>
  </si>
  <si>
    <t>Leeds</t>
  </si>
  <si>
    <t>Leicester</t>
  </si>
  <si>
    <t>Lewes</t>
  </si>
  <si>
    <t>Lewisham</t>
  </si>
  <si>
    <t>Lichfield</t>
  </si>
  <si>
    <t>Lincoln City</t>
  </si>
  <si>
    <t>Liverpool</t>
  </si>
  <si>
    <t>Luton</t>
  </si>
  <si>
    <t>Maidstone</t>
  </si>
  <si>
    <t>Maldon</t>
  </si>
  <si>
    <t>Malvern Hills</t>
  </si>
  <si>
    <t>Manchester</t>
  </si>
  <si>
    <t>Mansfield</t>
  </si>
  <si>
    <t>Medway</t>
  </si>
  <si>
    <t>Melton</t>
  </si>
  <si>
    <t>Mendip</t>
  </si>
  <si>
    <t>Merton</t>
  </si>
  <si>
    <t>Mid Devon</t>
  </si>
  <si>
    <t>Mid Suffolk</t>
  </si>
  <si>
    <t>Mid Sussex</t>
  </si>
  <si>
    <t>Middlesbrough</t>
  </si>
  <si>
    <t>Milton Keynes</t>
  </si>
  <si>
    <t>Mole Valley</t>
  </si>
  <si>
    <t>New Forest</t>
  </si>
  <si>
    <t>New Forest National Park</t>
  </si>
  <si>
    <t>Newark &amp; Sherwood</t>
  </si>
  <si>
    <t>Newcastle</t>
  </si>
  <si>
    <t>Newcastle Under Lyme</t>
  </si>
  <si>
    <t>Newham</t>
  </si>
  <si>
    <t>North Devon</t>
  </si>
  <si>
    <t>North Dorset</t>
  </si>
  <si>
    <t>North East Derbyshire</t>
  </si>
  <si>
    <t>North East Lincolnshire</t>
  </si>
  <si>
    <t>North Herts</t>
  </si>
  <si>
    <t>North Kesteven</t>
  </si>
  <si>
    <t>North Lincolnshire</t>
  </si>
  <si>
    <t>North Norfolk</t>
  </si>
  <si>
    <t>North Somerset</t>
  </si>
  <si>
    <t>North Tyneside</t>
  </si>
  <si>
    <t>North Warwickshire</t>
  </si>
  <si>
    <t xml:space="preserve">North West Leicestershire </t>
  </si>
  <si>
    <t>North Yorkshire Moors National Park</t>
  </si>
  <si>
    <t>Northampton</t>
  </si>
  <si>
    <t>Northumberland County</t>
  </si>
  <si>
    <t>Northumberland National Park</t>
  </si>
  <si>
    <t>Norwich</t>
  </si>
  <si>
    <t>Nottingham</t>
  </si>
  <si>
    <t>Nuneaton &amp; Bedworth</t>
  </si>
  <si>
    <t xml:space="preserve">Oadby &amp; Wigston </t>
  </si>
  <si>
    <t>Oldham</t>
  </si>
  <si>
    <t>Oxford City</t>
  </si>
  <si>
    <t>Peak District National Park</t>
  </si>
  <si>
    <t>Pendle</t>
  </si>
  <si>
    <t>Peterborough</t>
  </si>
  <si>
    <t>Plymouth</t>
  </si>
  <si>
    <t>Poole</t>
  </si>
  <si>
    <t>Portsmouth</t>
  </si>
  <si>
    <t>Preston</t>
  </si>
  <si>
    <t>Purbeck</t>
  </si>
  <si>
    <t>Reading</t>
  </si>
  <si>
    <t>Redbridge</t>
  </si>
  <si>
    <t>Redcar &amp; Cleveland</t>
  </si>
  <si>
    <t>Redditch</t>
  </si>
  <si>
    <t>Reigate &amp; Banstead</t>
  </si>
  <si>
    <t>Ribble Valley</t>
  </si>
  <si>
    <t>Richmond Upon Thames</t>
  </si>
  <si>
    <t>Richmondshire</t>
  </si>
  <si>
    <t>Rochdale</t>
  </si>
  <si>
    <t>Rochford</t>
  </si>
  <si>
    <t>Rossendale</t>
  </si>
  <si>
    <t>Rother</t>
  </si>
  <si>
    <t>Rotherham</t>
  </si>
  <si>
    <t>Rugby</t>
  </si>
  <si>
    <t>Runnymede</t>
  </si>
  <si>
    <t>Rushcliffe</t>
  </si>
  <si>
    <t>Rushmoor</t>
  </si>
  <si>
    <t>Rutland</t>
  </si>
  <si>
    <t>Ryedale</t>
  </si>
  <si>
    <t>Salford</t>
  </si>
  <si>
    <t>Sandwell</t>
  </si>
  <si>
    <t>Scarborough</t>
  </si>
  <si>
    <t>Sedgemoor</t>
  </si>
  <si>
    <t>Sefton</t>
  </si>
  <si>
    <t>Selby</t>
  </si>
  <si>
    <t>Sevenoaks</t>
  </si>
  <si>
    <t>Sheffield</t>
  </si>
  <si>
    <t>Shepway</t>
  </si>
  <si>
    <t>Shropshire</t>
  </si>
  <si>
    <t>Slough</t>
  </si>
  <si>
    <t>Solihull</t>
  </si>
  <si>
    <t>South Bucks</t>
  </si>
  <si>
    <t>South Cambridgeshire</t>
  </si>
  <si>
    <t>South Derbyshire</t>
  </si>
  <si>
    <t>South Downs National Park</t>
  </si>
  <si>
    <t>South Gloucestershire</t>
  </si>
  <si>
    <t>South Hams</t>
  </si>
  <si>
    <t>South Holland</t>
  </si>
  <si>
    <t>South Kesteven</t>
  </si>
  <si>
    <t>South Lakeland</t>
  </si>
  <si>
    <t>South Norfolk</t>
  </si>
  <si>
    <t>South Northants</t>
  </si>
  <si>
    <t>South Oxfordshire</t>
  </si>
  <si>
    <t>South Ribble</t>
  </si>
  <si>
    <t>South Somerset</t>
  </si>
  <si>
    <t>South Staffordshire</t>
  </si>
  <si>
    <t>South Tyneside</t>
  </si>
  <si>
    <t>Southampton</t>
  </si>
  <si>
    <t>Southend On Sea</t>
  </si>
  <si>
    <t>Southwark</t>
  </si>
  <si>
    <t>Spelthorne</t>
  </si>
  <si>
    <t>St Albans</t>
  </si>
  <si>
    <t>St Edmundsbury</t>
  </si>
  <si>
    <t>St Helens</t>
  </si>
  <si>
    <t>Stafford</t>
  </si>
  <si>
    <t>Staffordshire Moorlands</t>
  </si>
  <si>
    <t>Stevenage</t>
  </si>
  <si>
    <t>Stockport</t>
  </si>
  <si>
    <t>Stockton On Tees</t>
  </si>
  <si>
    <t>Stoke On Trent</t>
  </si>
  <si>
    <t>Stratford On Avon</t>
  </si>
  <si>
    <t>Stroud</t>
  </si>
  <si>
    <t>Suffolk Coastal</t>
  </si>
  <si>
    <t>Sunderland</t>
  </si>
  <si>
    <t>Surrey Heath</t>
  </si>
  <si>
    <t>Sutton</t>
  </si>
  <si>
    <t>Swale</t>
  </si>
  <si>
    <t>Swindon</t>
  </si>
  <si>
    <t>Tameside</t>
  </si>
  <si>
    <t>Tamworth</t>
  </si>
  <si>
    <t>Tandridge</t>
  </si>
  <si>
    <t>Taunton Deane</t>
  </si>
  <si>
    <t>Teignbridge</t>
  </si>
  <si>
    <t>Telford &amp; Wrekin</t>
  </si>
  <si>
    <t>Tendring</t>
  </si>
  <si>
    <t>Test Valley</t>
  </si>
  <si>
    <t>Tewkesbury</t>
  </si>
  <si>
    <t>Thanet</t>
  </si>
  <si>
    <t>Three Rivers</t>
  </si>
  <si>
    <t>Thurrock</t>
  </si>
  <si>
    <t>Tonbridge &amp;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</si>
  <si>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</si>
  <si>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</si>
  <si>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</si>
  <si>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</si>
  <si>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</si>
  <si>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</si>
  <si>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</si>
  <si>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</si>
  <si>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</si>
  <si>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</si>
  <si>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</si>
  <si>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</si>
  <si>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</si>
  <si>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</si>
  <si>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Waveney</t>
  </si>
  <si>
    <t>Waverley</t>
  </si>
  <si>
    <t>Wealden</t>
  </si>
  <si>
    <t>Wellingborough</t>
  </si>
  <si>
    <t>Welwyn Hatfield</t>
  </si>
  <si>
    <t>West Berkshire</t>
  </si>
  <si>
    <t>West Devon</t>
  </si>
  <si>
    <t>West Dorset</t>
  </si>
  <si>
    <t>West Lancashire</t>
  </si>
  <si>
    <t>West Lindsey</t>
  </si>
  <si>
    <t>West Oxfordshire</t>
  </si>
  <si>
    <t>West Somerset</t>
  </si>
  <si>
    <t>Weymouth &amp; Portland</t>
  </si>
  <si>
    <t>Wigan</t>
  </si>
  <si>
    <t>Wiltshire</t>
  </si>
  <si>
    <t>Winchester</t>
  </si>
  <si>
    <t>Windsor &amp; Maidenhead</t>
  </si>
  <si>
    <t>Wirral</t>
  </si>
  <si>
    <t>Woking</t>
  </si>
  <si>
    <t>Wokingham</t>
  </si>
  <si>
    <t>Wolverhampton</t>
  </si>
  <si>
    <t>Worcester</t>
  </si>
  <si>
    <t>Worthing</t>
  </si>
  <si>
    <t>Wychavon</t>
  </si>
  <si>
    <t>Wycombe</t>
  </si>
  <si>
    <t>Wyre</t>
  </si>
  <si>
    <t>Wyre Forest</t>
  </si>
  <si>
    <t>York</t>
  </si>
  <si>
    <t>Yorkshire Dales National Park</t>
  </si>
  <si>
    <t>Local Authority</t>
  </si>
  <si>
    <t>County</t>
  </si>
  <si>
    <t xml:space="preserve">pitches at a capital cost of </t>
  </si>
  <si>
    <t>and a total life cycle cost (per annum) of</t>
  </si>
  <si>
    <t>Required Information</t>
  </si>
  <si>
    <t>Optional Information</t>
  </si>
  <si>
    <t>N/a</t>
  </si>
  <si>
    <t>COMBINED - ROUND UP</t>
  </si>
  <si>
    <t>Avon</t>
  </si>
  <si>
    <t>Bedfordshire</t>
  </si>
  <si>
    <t>Berkshire</t>
  </si>
  <si>
    <t>Buckinghamshire</t>
  </si>
  <si>
    <t>Cambridgeshire</t>
  </si>
  <si>
    <t>Cheshire</t>
  </si>
  <si>
    <t>Cleveland</t>
  </si>
  <si>
    <t>Cumbria</t>
  </si>
  <si>
    <t>Derbyshire</t>
  </si>
  <si>
    <t>Devon</t>
  </si>
  <si>
    <t>Dorset</t>
  </si>
  <si>
    <t>Durham</t>
  </si>
  <si>
    <t>East Sussex</t>
  </si>
  <si>
    <t>England</t>
  </si>
  <si>
    <t>Essex</t>
  </si>
  <si>
    <t>Gloucestershire</t>
  </si>
  <si>
    <t>Grt Manchester</t>
  </si>
  <si>
    <t>Hampshire</t>
  </si>
  <si>
    <t>Hereford &amp; Worcester</t>
  </si>
  <si>
    <t>Hertfordshire</t>
  </si>
  <si>
    <t>Humberside</t>
  </si>
  <si>
    <t>Kent</t>
  </si>
  <si>
    <t>Lancashire</t>
  </si>
  <si>
    <t>LB Barking</t>
  </si>
  <si>
    <t>LB Barnet</t>
  </si>
  <si>
    <t>LB Bexley</t>
  </si>
  <si>
    <t>LB Brent</t>
  </si>
  <si>
    <t>LB Bromley</t>
  </si>
  <si>
    <t>LB Camden</t>
  </si>
  <si>
    <t>LB Croydon</t>
  </si>
  <si>
    <t>LB Ealing</t>
  </si>
  <si>
    <t>LB Enfield</t>
  </si>
  <si>
    <t>LB Greenwich</t>
  </si>
  <si>
    <t>LB Hackney</t>
  </si>
  <si>
    <t>LB Hammersmith &amp; Fulham</t>
  </si>
  <si>
    <t>LB Haringey</t>
  </si>
  <si>
    <t>LB Harrow</t>
  </si>
  <si>
    <t>LB Havering</t>
  </si>
  <si>
    <t>LB Hillingdon</t>
  </si>
  <si>
    <t>LB Houslow</t>
  </si>
  <si>
    <t>LB Islington</t>
  </si>
  <si>
    <t>LB Kensington &amp; Chelsea</t>
  </si>
  <si>
    <t>LB Kingston</t>
  </si>
  <si>
    <t>LB Lambeth</t>
  </si>
  <si>
    <t>LB Lewisham</t>
  </si>
  <si>
    <t>LB Merton</t>
  </si>
  <si>
    <t>LB Newham</t>
  </si>
  <si>
    <t xml:space="preserve">LB Redbridge </t>
  </si>
  <si>
    <t>LB Richmond</t>
  </si>
  <si>
    <t>LB Southwark</t>
  </si>
  <si>
    <t>LB Sutton</t>
  </si>
  <si>
    <t>LB Tower Hamlets</t>
  </si>
  <si>
    <t>LB Waltham Forest</t>
  </si>
  <si>
    <t>LB Wandsworth</t>
  </si>
  <si>
    <t>Leicestershire</t>
  </si>
  <si>
    <t>Lincolnshire</t>
  </si>
  <si>
    <t>Merseyside</t>
  </si>
  <si>
    <t>No costs</t>
  </si>
  <si>
    <t>Norfolk</t>
  </si>
  <si>
    <t>North Yorkshire</t>
  </si>
  <si>
    <t>Northamptonshire</t>
  </si>
  <si>
    <t>Northumberland</t>
  </si>
  <si>
    <t>Nottinghamshire</t>
  </si>
  <si>
    <t>Oxfordshire</t>
  </si>
  <si>
    <t>Scotland</t>
  </si>
  <si>
    <t>Somerset</t>
  </si>
  <si>
    <t>South Yorkshire</t>
  </si>
  <si>
    <t>Staffordshire</t>
  </si>
  <si>
    <t xml:space="preserve">Suffolk </t>
  </si>
  <si>
    <t>Surrey</t>
  </si>
  <si>
    <t>Tyne &amp; Wear</t>
  </si>
  <si>
    <t>Wales</t>
  </si>
  <si>
    <t>Warwickshire</t>
  </si>
  <si>
    <t>West Midlands</t>
  </si>
  <si>
    <t>West Sussex</t>
  </si>
  <si>
    <t>West Yorkshire</t>
  </si>
  <si>
    <t>Regional cost variations</t>
  </si>
  <si>
    <r>
      <t xml:space="preserve">1. </t>
    </r>
    <r>
      <rPr>
        <sz val="11"/>
        <color theme="1"/>
        <rFont val="Calibri Light"/>
        <family val="2"/>
        <scheme val="major"/>
      </rPr>
      <t>Current</t>
    </r>
    <r>
      <rPr>
        <b/>
        <sz val="11"/>
        <color theme="1"/>
        <rFont val="Calibri Light"/>
        <family val="2"/>
        <scheme val="major"/>
      </rPr>
      <t xml:space="preserve"> population in each pitch sport age group in</t>
    </r>
    <r>
      <rPr>
        <sz val="11"/>
        <color theme="1"/>
        <rFont val="Calibri Light"/>
        <family val="2"/>
        <scheme val="major"/>
      </rPr>
      <t/>
    </r>
  </si>
  <si>
    <r>
      <t xml:space="preserve">2. </t>
    </r>
    <r>
      <rPr>
        <sz val="11"/>
        <color theme="1"/>
        <rFont val="Calibri Light"/>
        <family val="2"/>
        <scheme val="major"/>
      </rPr>
      <t xml:space="preserve">Current </t>
    </r>
    <r>
      <rPr>
        <b/>
        <sz val="11"/>
        <color theme="1"/>
        <rFont val="Calibri Light"/>
        <family val="2"/>
        <scheme val="major"/>
      </rPr>
      <t>team 
generation rates</t>
    </r>
    <r>
      <rPr>
        <sz val="11"/>
        <color theme="1"/>
        <rFont val="Calibri Light"/>
        <family val="2"/>
        <scheme val="major"/>
      </rPr>
      <t xml:space="preserve"> for</t>
    </r>
  </si>
  <si>
    <t>No. of people within the new population</t>
  </si>
  <si>
    <t>How many people from the new population fall within the individual pitch sport age groups?</t>
  </si>
  <si>
    <t>b. Projected change in demand</t>
  </si>
  <si>
    <t>No. of teams generated by new population with change in demand factored in</t>
  </si>
  <si>
    <t>Match equivalent sessions during weekly peak period (during the year for Cricket)</t>
  </si>
  <si>
    <t>% of match play during the peak period</t>
  </si>
  <si>
    <t>Combined rounded up costs</t>
  </si>
  <si>
    <t>What do the match equivalent sessions equate to in terms of new pitch provision?</t>
  </si>
  <si>
    <t>How much may it cost to provide the new pitch provision?</t>
  </si>
  <si>
    <t>What might the lifecycle costs of the new provision be?</t>
  </si>
  <si>
    <t>County Level Cost Variations</t>
  </si>
  <si>
    <t>Variation</t>
  </si>
  <si>
    <t>How many teams may be generated by the new population?</t>
  </si>
  <si>
    <t>&lt; select LA from the list &gt;</t>
  </si>
  <si>
    <t>1.  Select the local authority from the list.</t>
  </si>
  <si>
    <t>2.  Enter the total population of the local authority.</t>
  </si>
  <si>
    <t>3.  Enter the new population to estimate the demand for.</t>
  </si>
  <si>
    <t>Rugby Union   =</t>
  </si>
  <si>
    <t>Hockey   =</t>
  </si>
  <si>
    <t>Cricket   =</t>
  </si>
  <si>
    <r>
      <t>PART ONE:  Local Authority and population details</t>
    </r>
    <r>
      <rPr>
        <b/>
        <u/>
        <sz val="12"/>
        <color theme="1"/>
        <rFont val="Calibri Light"/>
        <family val="2"/>
        <scheme val="major"/>
      </rPr>
      <t/>
    </r>
  </si>
  <si>
    <t>1.  Look at the location of the new population alongside the results of the playing pitch strategy assessment work.</t>
  </si>
  <si>
    <t>2.  Understand the nature of playing pitch sites within an appropriate catchment of the new population and issues in the area.</t>
  </si>
  <si>
    <t>3.  This may lead to suggestions of one or more ways of meeting the estimated demand, such as:</t>
  </si>
  <si>
    <t xml:space="preserve">          c.  Providing new playing pitches on new sites (natural or artificial grass pitches). </t>
  </si>
  <si>
    <t>Total   =</t>
  </si>
  <si>
    <t>pitches at a capital cost of</t>
  </si>
  <si>
    <t>Adult Football   =</t>
  </si>
  <si>
    <t>Youth Football   =</t>
  </si>
  <si>
    <t>Mini Soccer   =</t>
  </si>
  <si>
    <t>Rugby League   =</t>
  </si>
  <si>
    <t>A total   =</t>
  </si>
  <si>
    <t>To estimate the demand and provide indicative costs the calculator works through a series of questions in sequence.  The questions and the process the calculator follows is presented below.  
The assumptions built into the process are in line with Sport England's Playing Pitch Strategy Guidance.</t>
  </si>
  <si>
    <r>
      <rPr>
        <b/>
        <sz val="10"/>
        <color theme="1"/>
        <rFont val="Calibri Light"/>
        <family val="2"/>
        <scheme val="major"/>
      </rPr>
      <t>Note:</t>
    </r>
    <r>
      <rPr>
        <sz val="10"/>
        <color theme="1"/>
        <rFont val="Calibri Light"/>
        <family val="2"/>
        <scheme val="major"/>
      </rPr>
      <t xml:space="preserve"> Cricket Pitch Cost = 8 pitch square and 2 winter sport pitches, 
Hockey Pitch Cost = 18mm Sand Dressed, Fenced, Sports Lighting.</t>
    </r>
  </si>
  <si>
    <t>PART TWO:  Estimated demand in match equivalent sessions during the weekly peak period (across a season for Cricket)</t>
  </si>
  <si>
    <t xml:space="preserve">This calculator uses information from the  </t>
  </si>
  <si>
    <t>PART FOUR:  Estimated demand in new playing pitches to meet the estimated demand during the weekly peak period (across a season for Cricket)</t>
  </si>
  <si>
    <t xml:space="preserve"> playing pitch strategy assessment work to help estimate the demand for pitches that may be generated from new development.  </t>
  </si>
  <si>
    <r>
      <rPr>
        <b/>
        <u/>
        <sz val="11"/>
        <color theme="1"/>
        <rFont val="Calibri Light"/>
        <family val="2"/>
        <scheme val="major"/>
      </rPr>
      <t>Note</t>
    </r>
    <r>
      <rPr>
        <b/>
        <sz val="11"/>
        <color theme="1"/>
        <rFont val="Calibri Light"/>
        <family val="2"/>
        <scheme val="major"/>
      </rPr>
      <t xml:space="preserve">: For the calculator to work it requires data from the local authority's playing pitch strategy assessment work to be entered - </t>
    </r>
    <r>
      <rPr>
        <b/>
        <u/>
        <sz val="11"/>
        <color theme="1"/>
        <rFont val="Calibri Light"/>
        <family val="2"/>
        <scheme val="major"/>
      </rPr>
      <t>see 'PPS Data' sheet</t>
    </r>
    <r>
      <rPr>
        <b/>
        <sz val="11"/>
        <color theme="1"/>
        <rFont val="Calibri Light"/>
        <family val="2"/>
        <scheme val="major"/>
      </rPr>
      <t>.</t>
    </r>
  </si>
  <si>
    <t xml:space="preserve">          a.  Enhancing existing pitches to increase their capacity and ensure adequate long term maintenance to maintain the higher use;</t>
  </si>
  <si>
    <t>It may be decided that the estimated demand should be met by the creation of new natural and/or artificial grass pitches. If this is the case then an indication of the number of new pitches that may be required is provided below.  This is based on providing natural grass pitches for football, rugby and cricket and new artificial grass pitches for hockey.</t>
  </si>
  <si>
    <t xml:space="preserve">The calculator requires information from the playing pitch strategy assessment work to be entered into the 'PPS Data' sheet. If the assessment work is updated, e.g. as part of a regular review of the supply and demand information on which it is based, then the data entered into the calculator should be updated accordingly. </t>
  </si>
  <si>
    <t>&lt;insert LA name&gt;</t>
  </si>
  <si>
    <t>% of total population in the area</t>
  </si>
  <si>
    <t>How many match equivalent sessions during the relevant peak period may be demanded by the new population?</t>
  </si>
  <si>
    <t>Estimated demand for home matches per week 
- per year for Cricket</t>
  </si>
  <si>
    <t xml:space="preserve">d.  Match equivalent sessions during the weekly peak period (or season for Cricket) for relevant age groups i.e. all adult football, all youth football are added together and presented as results within Part 2 of the Calculator Sheet.  </t>
  </si>
  <si>
    <t>Estimated demand in number of pitches required to meet additional demand during weekly peak period (during the year for Cricket)</t>
  </si>
  <si>
    <r>
      <t xml:space="preserve">b.  For Cricket: Match equivalent sessions per season (Column O, Workings Sheet) </t>
    </r>
    <r>
      <rPr>
        <b/>
        <sz val="11"/>
        <color theme="1"/>
        <rFont val="Calibri Light"/>
        <family val="2"/>
        <scheme val="major"/>
      </rPr>
      <t>/</t>
    </r>
    <r>
      <rPr>
        <sz val="11"/>
        <color theme="1"/>
        <rFont val="Calibri Light"/>
        <family val="2"/>
        <scheme val="major"/>
      </rPr>
      <t xml:space="preserve"> 40 for the adult age groups ( </t>
    </r>
    <r>
      <rPr>
        <b/>
        <sz val="11"/>
        <color theme="1"/>
        <rFont val="Calibri Light"/>
        <family val="2"/>
        <scheme val="major"/>
      </rPr>
      <t>/</t>
    </r>
    <r>
      <rPr>
        <sz val="11"/>
        <color theme="1"/>
        <rFont val="Calibri Light"/>
        <family val="2"/>
        <scheme val="major"/>
      </rPr>
      <t xml:space="preserve"> 56 for the junior age groups) </t>
    </r>
    <r>
      <rPr>
        <b/>
        <sz val="11"/>
        <color theme="1"/>
        <rFont val="Calibri Light"/>
        <family val="2"/>
        <scheme val="major"/>
      </rPr>
      <t>=</t>
    </r>
    <r>
      <rPr>
        <sz val="11"/>
        <color theme="1"/>
        <rFont val="Calibri Light"/>
        <family val="2"/>
        <scheme val="major"/>
      </rPr>
      <t xml:space="preserve"> Estimated demand in new pitches (Column Q, Workings Sheet)  - based on a single cricket pitch having 8 grass wickets with each wicket being able to take 5 matches a year for adult play and 7 matches for junior play). </t>
    </r>
  </si>
  <si>
    <t xml:space="preserve">c.  Estimated demand in new pitches for relevant age groups (i.e. all adult football, all youth football) are added together and presented as results within Part 4 of the Calculator Sheet (as they are for Part 2 of the Calculator Sheet). </t>
  </si>
  <si>
    <r>
      <t xml:space="preserve">a.  Estimated demand in new pitches for the relevant age groups (Column Q, Workings Sheet) - added together as under question 4 above </t>
    </r>
    <r>
      <rPr>
        <b/>
        <sz val="11"/>
        <color theme="1"/>
        <rFont val="Calibri Light"/>
        <family val="2"/>
        <scheme val="major"/>
      </rPr>
      <t>X</t>
    </r>
    <r>
      <rPr>
        <sz val="11"/>
        <color theme="1"/>
        <rFont val="Calibri Light"/>
        <family val="2"/>
        <scheme val="major"/>
      </rPr>
      <t xml:space="preserve"> Sport England's latest pitch capital costs (Column T, Workings Sheet) for the respective pitch type </t>
    </r>
    <r>
      <rPr>
        <b/>
        <sz val="11"/>
        <color theme="1"/>
        <rFont val="Calibri Light"/>
        <family val="2"/>
        <scheme val="major"/>
      </rPr>
      <t>X</t>
    </r>
    <r>
      <rPr>
        <sz val="11"/>
        <color theme="1"/>
        <rFont val="Calibri Light"/>
        <family val="2"/>
        <scheme val="major"/>
      </rPr>
      <t xml:space="preserve"> Sport England's regional cost variation (Columns D-L Rows 38-376 Workings Sheet) </t>
    </r>
    <r>
      <rPr>
        <b/>
        <sz val="11"/>
        <color theme="1"/>
        <rFont val="Calibri Light"/>
        <family val="2"/>
        <scheme val="major"/>
      </rPr>
      <t>=</t>
    </r>
    <r>
      <rPr>
        <sz val="11"/>
        <color theme="1"/>
        <rFont val="Calibri Light"/>
        <family val="2"/>
        <scheme val="major"/>
      </rPr>
      <t xml:space="preserve"> Estimated capital cost per pitch type for the number of new pitches (Column U, Workings Sheet).  </t>
    </r>
  </si>
  <si>
    <t xml:space="preserve">b.  The capital cost figures for the relevant age groups are presented within Part 4 (Column G) of the calculator sheet.  </t>
  </si>
  <si>
    <t>Estimated capital cost for no. of pitches generated by the new population</t>
  </si>
  <si>
    <r>
      <t xml:space="preserve">a.  Capital cost per pitch type for the number of new pitches (Column U, Workings Sheet) </t>
    </r>
    <r>
      <rPr>
        <b/>
        <sz val="11"/>
        <color theme="1"/>
        <rFont val="Calibri Light"/>
        <family val="2"/>
        <scheme val="major"/>
      </rPr>
      <t>X</t>
    </r>
    <r>
      <rPr>
        <sz val="11"/>
        <color theme="1"/>
        <rFont val="Calibri Light"/>
        <family val="2"/>
        <scheme val="major"/>
      </rPr>
      <t xml:space="preserve"> Sport England's annual percentage sinking fund cost for the relevant pitch type¹ </t>
    </r>
    <r>
      <rPr>
        <b/>
        <sz val="11"/>
        <color theme="1"/>
        <rFont val="Calibri Light"/>
        <family val="2"/>
        <scheme val="major"/>
      </rPr>
      <t>=</t>
    </r>
    <r>
      <rPr>
        <sz val="11"/>
        <color theme="1"/>
        <rFont val="Calibri Light"/>
        <family val="2"/>
        <scheme val="major"/>
      </rPr>
      <t xml:space="preserve"> Annual sinking fund cost for the number of new pitches per pitch type (Column W, Workings Sheet).</t>
    </r>
  </si>
  <si>
    <r>
      <t xml:space="preserve">b.  Capital cost per pitch type for the number of new pitches (Column U, Workings Sheet) </t>
    </r>
    <r>
      <rPr>
        <b/>
        <sz val="11"/>
        <color theme="1"/>
        <rFont val="Calibri Light"/>
        <family val="2"/>
        <scheme val="major"/>
      </rPr>
      <t>X</t>
    </r>
    <r>
      <rPr>
        <sz val="11"/>
        <color theme="1"/>
        <rFont val="Calibri Light"/>
        <family val="2"/>
        <scheme val="major"/>
      </rPr>
      <t xml:space="preserve"> Sport England's annual percentage maintenance cost for the relevant pitch type² </t>
    </r>
    <r>
      <rPr>
        <b/>
        <sz val="11"/>
        <color theme="1"/>
        <rFont val="Calibri Light"/>
        <family val="2"/>
        <scheme val="major"/>
      </rPr>
      <t>=</t>
    </r>
    <r>
      <rPr>
        <sz val="11"/>
        <color theme="1"/>
        <rFont val="Calibri Light"/>
        <family val="2"/>
        <scheme val="major"/>
      </rPr>
      <t xml:space="preserve"> Annual maintenance cost for the number of new pitches per pitch type (Column X, Workings Sheet).</t>
    </r>
  </si>
  <si>
    <r>
      <t xml:space="preserve">c.  Annual sinking fund cost (Column W, Workings Sheet) </t>
    </r>
    <r>
      <rPr>
        <b/>
        <sz val="11"/>
        <color theme="1"/>
        <rFont val="Calibri Light"/>
        <family val="2"/>
        <scheme val="major"/>
      </rPr>
      <t>X</t>
    </r>
    <r>
      <rPr>
        <sz val="11"/>
        <color theme="1"/>
        <rFont val="Calibri Light"/>
        <family val="2"/>
        <scheme val="major"/>
      </rPr>
      <t xml:space="preserve"> annual monitoring cost (Column X, Workings Sheet) </t>
    </r>
    <r>
      <rPr>
        <b/>
        <sz val="11"/>
        <color theme="1"/>
        <rFont val="Calibri Light"/>
        <family val="2"/>
        <scheme val="major"/>
      </rPr>
      <t>=</t>
    </r>
    <r>
      <rPr>
        <sz val="11"/>
        <color theme="1"/>
        <rFont val="Calibri Light"/>
        <family val="2"/>
        <scheme val="major"/>
      </rPr>
      <t xml:space="preserve"> Total annual lifecycle cost for the estimated number of new pitches per pitch type (Column Y, Workings Sheet).</t>
    </r>
  </si>
  <si>
    <r>
      <t xml:space="preserve">b.  Current population in each age group as a percentage of the total population (Column F, Workings Sheet) </t>
    </r>
    <r>
      <rPr>
        <b/>
        <sz val="11"/>
        <color theme="1"/>
        <rFont val="Calibri Light"/>
        <family val="2"/>
        <scheme val="major"/>
      </rPr>
      <t>X</t>
    </r>
    <r>
      <rPr>
        <sz val="11"/>
        <color theme="1"/>
        <rFont val="Calibri Light"/>
        <family val="2"/>
        <scheme val="major"/>
      </rPr>
      <t xml:space="preserve"> the new population to estimate the demand for (Cell D13, Calculator Sheet) </t>
    </r>
    <r>
      <rPr>
        <b/>
        <sz val="11"/>
        <color theme="1"/>
        <rFont val="Calibri Light"/>
        <family val="2"/>
        <scheme val="major"/>
      </rPr>
      <t>=</t>
    </r>
    <r>
      <rPr>
        <sz val="11"/>
        <color theme="1"/>
        <rFont val="Calibri Light"/>
        <family val="2"/>
        <scheme val="major"/>
      </rPr>
      <t xml:space="preserve"> Number of people in the new development that fall within each age group (Column G, Workings Sheet).            </t>
    </r>
  </si>
  <si>
    <r>
      <t xml:space="preserve">a.  Number of people in the new development that fall within an age group (Column G, Workings Sheet) </t>
    </r>
    <r>
      <rPr>
        <b/>
        <sz val="11"/>
        <color theme="1"/>
        <rFont val="Calibri Light"/>
        <family val="2"/>
        <scheme val="major"/>
      </rPr>
      <t>/</t>
    </r>
    <r>
      <rPr>
        <sz val="11"/>
        <color theme="1"/>
        <rFont val="Calibri Light"/>
        <family val="2"/>
        <scheme val="major"/>
      </rPr>
      <t xml:space="preserve"> the relevant current team generation rate for the area (Column E, PPS Data Sheet) </t>
    </r>
    <r>
      <rPr>
        <b/>
        <sz val="11"/>
        <color theme="1"/>
        <rFont val="Calibri Light"/>
        <family val="2"/>
        <scheme val="major"/>
      </rPr>
      <t>X</t>
    </r>
    <r>
      <rPr>
        <sz val="11"/>
        <color theme="1"/>
        <rFont val="Calibri Light"/>
        <family val="2"/>
        <scheme val="major"/>
      </rPr>
      <t xml:space="preserve"> any projected change in demand (Column H, PPS Data Sheet) </t>
    </r>
    <r>
      <rPr>
        <b/>
        <sz val="11"/>
        <color theme="1"/>
        <rFont val="Calibri Light"/>
        <family val="2"/>
        <scheme val="major"/>
      </rPr>
      <t>=</t>
    </r>
    <r>
      <rPr>
        <sz val="11"/>
        <color theme="1"/>
        <rFont val="Calibri Light"/>
        <family val="2"/>
        <scheme val="major"/>
      </rPr>
      <t xml:space="preserve"> Estimated number of teams generated by the new population (Column J, Workings Sheet).</t>
    </r>
  </si>
  <si>
    <r>
      <t xml:space="preserve">a.  Estimated number of teams generated by the new population for each age group (Column J, Workings Sheet) </t>
    </r>
    <r>
      <rPr>
        <b/>
        <sz val="11"/>
        <color theme="1"/>
        <rFont val="Calibri Light"/>
        <family val="2"/>
        <scheme val="major"/>
      </rPr>
      <t>/</t>
    </r>
    <r>
      <rPr>
        <sz val="11"/>
        <color theme="1"/>
        <rFont val="Calibri Light"/>
        <family val="2"/>
        <scheme val="major"/>
      </rPr>
      <t xml:space="preserve"> 2 (to reflect home and away play i.e. a team will play a home match every other week) </t>
    </r>
    <r>
      <rPr>
        <b/>
        <sz val="11"/>
        <color theme="1"/>
        <rFont val="Calibri Light"/>
        <family val="2"/>
        <scheme val="major"/>
      </rPr>
      <t>=</t>
    </r>
    <r>
      <rPr>
        <sz val="11"/>
        <color theme="1"/>
        <rFont val="Calibri Light"/>
        <family val="2"/>
        <scheme val="major"/>
      </rPr>
      <t xml:space="preserve"> Estimated demand for home matches generated per week (Column L, Workings Sheet) </t>
    </r>
    <r>
      <rPr>
        <b/>
        <sz val="11"/>
        <color theme="1"/>
        <rFont val="Calibri Light"/>
        <family val="2"/>
        <scheme val="major"/>
      </rPr>
      <t>X</t>
    </r>
    <r>
      <rPr>
        <sz val="11"/>
        <color theme="1"/>
        <rFont val="Calibri Light"/>
        <family val="2"/>
        <scheme val="major"/>
      </rPr>
      <t xml:space="preserve"> the percentage of play during the peak period (Column G, PPS Data Sheet) </t>
    </r>
    <r>
      <rPr>
        <b/>
        <sz val="11"/>
        <color theme="1"/>
        <rFont val="Calibri Light"/>
        <family val="2"/>
        <scheme val="major"/>
      </rPr>
      <t>=</t>
    </r>
    <r>
      <rPr>
        <sz val="11"/>
        <color theme="1"/>
        <rFont val="Calibri Light"/>
        <family val="2"/>
        <scheme val="major"/>
      </rPr>
      <t xml:space="preserve"> Match equivalent sessions during the weekly peak period (Column O, Workings Sheet).</t>
    </r>
  </si>
  <si>
    <r>
      <t xml:space="preserve">b.  For Cricket: Demand is assessed across the season as opposed to per week.  Estimated number of teams generated by the new population for each age group (Column J, Workings Sheet) </t>
    </r>
    <r>
      <rPr>
        <b/>
        <sz val="11"/>
        <color theme="1"/>
        <rFont val="Calibri Light"/>
        <family val="2"/>
        <scheme val="major"/>
      </rPr>
      <t>X</t>
    </r>
    <r>
      <rPr>
        <sz val="11"/>
        <color theme="1"/>
        <rFont val="Calibri Light"/>
        <family val="2"/>
        <scheme val="major"/>
      </rPr>
      <t xml:space="preserve"> 10 home matches a season for the adult age groups (</t>
    </r>
    <r>
      <rPr>
        <b/>
        <sz val="11"/>
        <color theme="1"/>
        <rFont val="Calibri Light"/>
        <family val="2"/>
        <scheme val="major"/>
      </rPr>
      <t>X</t>
    </r>
    <r>
      <rPr>
        <sz val="11"/>
        <color theme="1"/>
        <rFont val="Calibri Light"/>
        <family val="2"/>
        <scheme val="major"/>
      </rPr>
      <t xml:space="preserve"> 8 home matches a season for the junior age groups) </t>
    </r>
    <r>
      <rPr>
        <b/>
        <sz val="11"/>
        <color theme="1"/>
        <rFont val="Calibri Light"/>
        <family val="2"/>
        <scheme val="major"/>
      </rPr>
      <t>=</t>
    </r>
    <r>
      <rPr>
        <sz val="11"/>
        <color theme="1"/>
        <rFont val="Calibri Light"/>
        <family val="2"/>
        <scheme val="major"/>
      </rPr>
      <t xml:space="preserve"> Estimated number of home matches generated per season. The number of home matches equates to the number of match equivalent sessions during the season (Column O, Workings Sheet). The figures of 10 and 8 are a guide as to the number of home matches an average team in the respective age groups could have per season (Source: England and Wales Cricket Board advice within Sport England's Playing Pitch Strategy Guidance).</t>
    </r>
  </si>
  <si>
    <r>
      <t xml:space="preserve">c.  For Rugby Union (Mini/Midi 7-12 years) and Rugby League (Primary 7-11 years):  Number of match equivalent sessions during the weekly peak period (Column O, Workings Sheet) are </t>
    </r>
    <r>
      <rPr>
        <b/>
        <sz val="11"/>
        <color theme="1"/>
        <rFont val="Calibri Light"/>
        <family val="2"/>
        <scheme val="major"/>
      </rPr>
      <t>/</t>
    </r>
    <r>
      <rPr>
        <sz val="11"/>
        <color theme="1"/>
        <rFont val="Calibri Light"/>
        <family val="2"/>
        <scheme val="major"/>
      </rPr>
      <t xml:space="preserve"> 4 before being presented.  This reflects that such age groups tend to use/mark out pitches on top of senior pitches using half a senior pitch for half the time of senior play therefore equating to 0.25 of a senior match equivalent session.    </t>
    </r>
  </si>
  <si>
    <r>
      <rPr>
        <sz val="11"/>
        <color rgb="FF0070C0"/>
        <rFont val="Calibri Light"/>
        <family val="2"/>
        <scheme val="major"/>
      </rPr>
      <t>Link here</t>
    </r>
    <r>
      <rPr>
        <sz val="11"/>
        <color theme="1"/>
        <rFont val="Calibri Light"/>
        <family val="2"/>
        <scheme val="major"/>
      </rPr>
      <t xml:space="preserve"> to the CIL Section of the Government's Planning Practice Guidance.</t>
    </r>
  </si>
  <si>
    <r>
      <t xml:space="preserve">a.  Current population within each age group (Column D, PPS Data Sheet) </t>
    </r>
    <r>
      <rPr>
        <b/>
        <sz val="11"/>
        <color theme="1"/>
        <rFont val="Calibri Light"/>
        <family val="2"/>
        <scheme val="major"/>
      </rPr>
      <t>/</t>
    </r>
    <r>
      <rPr>
        <sz val="11"/>
        <color theme="1"/>
        <rFont val="Calibri Light"/>
        <family val="2"/>
        <scheme val="major"/>
      </rPr>
      <t xml:space="preserve"> the total population of the area (Cell D11, Calculator Sheet) </t>
    </r>
    <r>
      <rPr>
        <b/>
        <sz val="11"/>
        <color theme="1"/>
        <rFont val="Calibri Light"/>
        <family val="2"/>
        <scheme val="major"/>
      </rPr>
      <t>=</t>
    </r>
    <r>
      <rPr>
        <sz val="11"/>
        <color theme="1"/>
        <rFont val="Calibri Light"/>
        <family val="2"/>
        <scheme val="major"/>
      </rPr>
      <t xml:space="preserve"> Current population in each age group as a percentage of the total population (Column F Workings Sheet).</t>
    </r>
  </si>
  <si>
    <t>Q1</t>
  </si>
  <si>
    <t>Q2</t>
  </si>
  <si>
    <t>Q3</t>
  </si>
  <si>
    <t>Q4</t>
  </si>
  <si>
    <t>Q5</t>
  </si>
  <si>
    <t>Q6</t>
  </si>
  <si>
    <t>Q1.  How many people from the new population fall within the individual pitch sport age groups?</t>
  </si>
  <si>
    <t>Q4. What do the match equivalent sessions equate to in terms of new pitch provision?</t>
  </si>
  <si>
    <t>Q5. How much may it cost to provide the new pitch provision?</t>
  </si>
  <si>
    <t>Q6. What might the lifecycle costs of the new provision be?</t>
  </si>
  <si>
    <t xml:space="preserve">Rugby League  = </t>
  </si>
  <si>
    <t xml:space="preserve">Adult football  =   </t>
  </si>
  <si>
    <r>
      <t xml:space="preserve">If the pitch figures above are </t>
    </r>
    <r>
      <rPr>
        <u/>
        <sz val="11"/>
        <color theme="0" tint="-0.499984740745262"/>
        <rFont val="Calibri Light"/>
        <family val="2"/>
        <scheme val="major"/>
      </rPr>
      <t>rounded up to the nearest whole pitch</t>
    </r>
    <r>
      <rPr>
        <sz val="11"/>
        <color theme="0" tint="-0.499984740745262"/>
        <rFont val="Calibri Light"/>
        <family val="2"/>
        <scheme val="major"/>
      </rPr>
      <t xml:space="preserve"> then the calculator suggests the demand equates to a need for: </t>
    </r>
  </si>
  <si>
    <t>*. Figures shown in Parts 2 and 4 on this sheet for both youth football and mini soccer categories combine the results for the relevant age groups (Youth 10-11 and 12-15yrs, Mini Soccer 6-7 and 8-9 yrs). Figures for the individual age groups are available in the Workings Sheet (Column O for Part 2 and Columns Q to Y for Part 4). The pitch costs used are the same for all age groups within the same category (see Workings Sheet, Column T).</t>
  </si>
  <si>
    <t xml:space="preserve">                                                                              Youth*  =</t>
  </si>
  <si>
    <r>
      <rPr>
        <i/>
        <sz val="11"/>
        <color theme="1"/>
        <rFont val="Calibri Light"/>
        <family val="2"/>
        <scheme val="major"/>
      </rPr>
      <t xml:space="preserve">       </t>
    </r>
    <r>
      <rPr>
        <sz val="11"/>
        <color theme="1"/>
        <rFont val="Calibri Light"/>
        <family val="2"/>
        <scheme val="major"/>
      </rPr>
      <t xml:space="preserve">                                                            Mini Soccer*  = </t>
    </r>
  </si>
  <si>
    <t xml:space="preserve">                                                                                                                  Rugby Union   =</t>
  </si>
  <si>
    <t>Sport England has a 'CIL and Planning Obligations Advice Note' available on request from your relevant Sport England Planning Manager or by email at planningforsport@sportengland.org.</t>
  </si>
  <si>
    <t xml:space="preserve">     </t>
  </si>
  <si>
    <t>An explanation of the how the calculator works along with the detailed workings are provided in the final two sheets of this document.</t>
  </si>
  <si>
    <t>2.   help guide the discussion and assessment of individual development proposals once a playing pitch strategy is in place</t>
  </si>
  <si>
    <t>The figures provided by the calculator should be looked at alongside the findings of the assessment work and the strategy recommendations and action plan to determine the most appropriate way of meeting any estimated demand.</t>
  </si>
  <si>
    <t xml:space="preserve">The estimate is of demand from the population of new development. The calculator does not take into account current levels of unmet demand in an area (including latent and displaced demand) or other elements of future demand (e.g. from sports clubs or educational establishments). It is therefore important that the calculator is used to feed into the development of or alongside a playing pitch strategy. </t>
  </si>
  <si>
    <r>
      <t xml:space="preserve">a. Percentage of match play in the peak period 
</t>
    </r>
    <r>
      <rPr>
        <sz val="11"/>
        <color theme="1"/>
        <rFont val="Calibri Light"/>
        <family val="2"/>
        <scheme val="major"/>
      </rPr>
      <t>(N/a for Cricket**)</t>
    </r>
  </si>
  <si>
    <t>**. N/a for Cricket as demand is assessed across the season as opposed to the across the week.</t>
  </si>
  <si>
    <t>The calculator can be used to: 
1.   feed into the development of a playing pitch strategy 
      e.g. to help assess how the demand from future population growth and specific development areas can be met to help with scenario testing and the development of the strategy recommendations and action plan.</t>
  </si>
  <si>
    <t xml:space="preserve">      e.g. to guide, alongside the strategy recommendations and action plan, discussion at the pre-application and planning application stages on how the demand from proposed residential developments can be met. </t>
  </si>
  <si>
    <t xml:space="preserve">The calculator provides an estimate of the demand for match play during the relevant match play peak period for the pitch sports. In line with Sport England's playing pitch strategy guidance the demand is estimated in match equivalent sessions. Information from the playing pitch strategy assessment work may indicate that additional demands will be generated over and above this estimate e.g. provision for training and informal play. </t>
  </si>
  <si>
    <t>PART THREE:  The most appropriate way to meet the estimated demand</t>
  </si>
  <si>
    <t xml:space="preserve">          b.  Undertaking works, and ensuring appropriate long term maintenance and access arrangements, to secure new or greater community use of existing sites;</t>
  </si>
  <si>
    <t xml:space="preserve">4.  When deciding on the most appropriate way of meeting the estimated demand regard should be had to the Government's regulations, policy and guidance regarding the Community Infrastructure Levy (CIL) and the use of planning obligations. </t>
  </si>
  <si>
    <t>An estimate of the costs for providing the new pitches is also provided. These are indicative costs only. Appropriate local work should be undertaken to determine more accurate costings.</t>
  </si>
  <si>
    <t xml:space="preserve">To provide an estimate of demand the calculator requires the following information from the local authority's playing pitch strategy assessment work:
1.  The current population in each pitch sport age group
2.  The Team Generation Rate (TGR) for each pitch sport age group
The above information should be available from the assessment work and should be copied across/entered into the sections below. 
As a default, the calculator assumes that:
a.  All of the estimated demand generated from the new population will take place at the peak time in the week for the respective sports and age groups within the authority area, and
b.  The level of demand is in line with the current level of demand in the area (i.e. it uses current TGRs for the area with no change in the level of demand for any sports).
The two assumptions can be overridden by amending the ('Percentage of match play in the peak period' and 'Projected change in demand') details below against any of the individual pitch sport age groups, in line with information from the authority's playing pitch strategy assessment work*.  </t>
  </si>
  <si>
    <t xml:space="preserve">a.  If the percentage of match play in the peak period is set by the user at 100% (PPS Data sheet, Column G - Optional Info a.) the estimated demand in new pitches (Column Q, Workings Sheet) will equate to the number of match equivalent sessions identified during the weekly peak period (Column O, Workings Sheet) - i.e. all the match sessions will be taking place at the same time  therefore each needing a pitch at the same time.  If the user adjusts the percentage of match play in the peak period from 100% to say 75% then the number of pitches required will reduce by 25% reflecting that not all of sessions will be taking place at the same time.  The exceptions to this are for Cricket and Hockey. </t>
  </si>
  <si>
    <r>
      <t xml:space="preserve">c.  For Hockey: Estimated demand in new pitches for all age groups (Column Q, Workings Sheet) are </t>
    </r>
    <r>
      <rPr>
        <b/>
        <sz val="11"/>
        <color theme="1"/>
        <rFont val="Calibri Light"/>
        <family val="2"/>
        <scheme val="major"/>
      </rPr>
      <t>/</t>
    </r>
    <r>
      <rPr>
        <sz val="11"/>
        <color theme="1"/>
        <rFont val="Calibri Light"/>
        <family val="2"/>
        <scheme val="major"/>
      </rPr>
      <t xml:space="preserve"> 4 before being presented within Part 4 of the Calculator Sheet.  This reflects that a single artificial grass pitch for Hockey can accommodate up to four matches on a peak day i.e. Saturday (Source: England Hockey advice within Sport England's Playing Pitch Strategy Guidance). </t>
    </r>
  </si>
  <si>
    <t>²Lifecycle Costs - Based on a % of the total project cost per annum as set out in Sport England's Life Cycle Costs Natural Turf Pitches and Artificial Surfaces documents (April 2012)</t>
  </si>
  <si>
    <t>Lifecycle Costs - Based on a % of the total project cost per annum as set out in Sport England's Life Cycle Costs Natural Turf Pitches and Artificial Surfaces documents (April 2012)</t>
  </si>
  <si>
    <t>Q2.  How many teams may be generated by the  new population?</t>
  </si>
  <si>
    <r>
      <t xml:space="preserve">*. The </t>
    </r>
    <r>
      <rPr>
        <b/>
        <sz val="9"/>
        <color theme="1"/>
        <rFont val="Calibri Light"/>
        <family val="2"/>
        <scheme val="major"/>
      </rPr>
      <t>peak time demand figures</t>
    </r>
    <r>
      <rPr>
        <sz val="9"/>
        <color theme="1"/>
        <rFont val="Calibri Light"/>
        <family val="2"/>
        <scheme val="major"/>
      </rPr>
      <t xml:space="preserve"> can be amended from the default 100% if the current percentage of play in the peak period for the relevant pitch type is known. Before making any such amendment the playing pitch strategy assessment work should be looked at carefully as it may indicate that a change is not appropriate due to the nature of the peak period varying from season to season, and/or being a result of the lack of available pitches when people would wish to play. It may therefore be deemed appropriate to maintain the 100% figure to ensure that demand from new development can be met during any peak period.   
The </t>
    </r>
    <r>
      <rPr>
        <b/>
        <sz val="9"/>
        <color theme="1"/>
        <rFont val="Calibri Light"/>
        <family val="2"/>
        <scheme val="major"/>
      </rPr>
      <t>projected change in demand figures</t>
    </r>
    <r>
      <rPr>
        <sz val="9"/>
        <color theme="1"/>
        <rFont val="Calibri Light"/>
        <family val="2"/>
        <scheme val="major"/>
      </rPr>
      <t xml:space="preserve"> are set at 0%. However, there may be robust evidence from the assessment work that demand in the area within a particular sport and age group has been growing and is set to continue. In such a case it would be appropriate to amend the figure accordingly to ensure this projected change in demand is incorporated into the calculator so the figures it produces reflect the projected position once the development is occupied.
</t>
    </r>
    <r>
      <rPr>
        <b/>
        <sz val="9"/>
        <color theme="1"/>
        <rFont val="Calibri Light"/>
        <family val="2"/>
        <scheme val="major"/>
      </rPr>
      <t>If there are currently no teams in the area for a particular age group for a sport</t>
    </r>
    <r>
      <rPr>
        <sz val="9"/>
        <color theme="1"/>
        <rFont val="Calibri Light"/>
        <family val="2"/>
        <scheme val="major"/>
      </rPr>
      <t xml:space="preserve"> then the TGR will equal 0. In this case, even if there is evidence from the assessment work that projected changes in demand will increase the number of teams over the timescale of the new development the calculator is being used for, adjusting the relevant figure in column H will not reflect this (i.e. a 25% increase in 0 teams = 0 teams). To overcome this it is suggested that rather than amend Column H, a 'projected' TGR is added to Column E which reflects the projected change in demand i.e. if the assessment work suggests an area may go from 0 Rugby League Adult Womens teams to 2 then the current population in that age group in Column D e.g. 101,166 can be divided by 2 so a 'projected' TGR of 50,583 can be entered into Column E. A note should be made within the calculator to show that the change in demand has been addressed in this way.     </t>
    </r>
  </si>
  <si>
    <t>Q3.  How many match equivalent sessions during the relevant peak period may be demanded by the new population?</t>
  </si>
  <si>
    <r>
      <t xml:space="preserve">Playing Pitch New Development Calculator                                                                                                                     </t>
    </r>
    <r>
      <rPr>
        <b/>
        <sz val="14"/>
        <color theme="1"/>
        <rFont val="Calibri Light"/>
        <family val="2"/>
        <scheme val="major"/>
      </rPr>
      <t>Version: August 2018</t>
    </r>
  </si>
  <si>
    <r>
      <rPr>
        <u/>
        <sz val="11"/>
        <color theme="1"/>
        <rFont val="Calibri Light"/>
        <family val="2"/>
        <scheme val="major"/>
      </rPr>
      <t>Version Control</t>
    </r>
    <r>
      <rPr>
        <sz val="11"/>
        <color theme="1"/>
        <rFont val="Calibri Light"/>
        <family val="2"/>
        <scheme val="major"/>
      </rPr>
      <t xml:space="preserve">  -  This is the August 2018 version of the calculator. The calculator will be updated based on feedback on its use and as Sport England updates any associated information e.g. updated costings. The user should check with Sport England that they are using the most up to date version. To do so please contact your relevant Sport England Planning Manager (if known) or email planningforsport@sportengland.org.</t>
    </r>
  </si>
  <si>
    <t>Playing Pitch New Development Calculator                                                                                       Version: August 2018</t>
  </si>
  <si>
    <t>Source of costs:  Capital Cost - Sport England Facilities Costs Second Quarter 2018
Lifecycle Costs - Based on a % of the total project cost per annum as set out in Sport England's Life Cycle Costs Natural Turf Pitches and Artificial Surfaces documents (April 2012)</t>
  </si>
  <si>
    <t>Playing Pitch New Development Calculator - PPS Data Required                                              Version: August 2018</t>
  </si>
  <si>
    <t>Playing Pitch New Development Calculator - Workings Explained                                                                                         Version: August 2018</t>
  </si>
  <si>
    <t>¹Capital costs source: SE Facilities Costs Second Quarter 2018</t>
  </si>
  <si>
    <t>Playing Pitch New Development Calculator - Workings                                                                                                                                                       Version: August 2018</t>
  </si>
  <si>
    <t xml:space="preserve">Capital costs source: SE Facilities Costs Second Quarter 2018 </t>
  </si>
  <si>
    <t>Pitch Capital Cost 
(Q2 2018)</t>
  </si>
  <si>
    <t>AT 25/05/18</t>
  </si>
  <si>
    <t>east staffordshire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</si>
</sst>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6" x14ac:knownFonts="1">
    <font>
      <sz val="10"/>
      <color theme="1"/>
      <name val="Arial"/>
      <family val="2"/>
    </font>
    <font>
      <u/>
      <sz val="10"/>
      <color theme="10"/>
      <name val="Arial"/>
      <family val="2"/>
    </font>
    <font>
      <sz val="11"/>
      <color theme="1"/>
      <name val="Arial"/>
      <family val="2"/>
    </font>
    <font>
      <sz val="10"/>
      <color theme="1"/>
      <name val="Calibri Light"/>
      <family val="2"/>
      <scheme val="major"/>
    </font>
    <font>
      <sz val="12"/>
      <color theme="1"/>
      <name val="Calibri Light"/>
      <family val="2"/>
      <scheme val="major"/>
    </font>
    <font>
      <b/>
      <sz val="11"/>
      <color theme="1"/>
      <name val="Calibri Light"/>
      <family val="2"/>
      <scheme val="major"/>
    </font>
    <font>
      <b/>
      <sz val="16"/>
      <color theme="1"/>
      <name val="Calibri Light"/>
      <family val="2"/>
      <scheme val="major"/>
    </font>
    <font>
      <b/>
      <u/>
      <sz val="12"/>
      <color theme="1"/>
      <name val="Calibri Light"/>
      <family val="2"/>
      <scheme val="major"/>
    </font>
    <font>
      <b/>
      <sz val="10"/>
      <color theme="1"/>
      <name val="Calibri Light"/>
      <family val="2"/>
      <scheme val="major"/>
    </font>
    <font>
      <sz val="11"/>
      <color theme="1"/>
      <name val="Calibri Light"/>
      <family val="2"/>
      <scheme val="major"/>
    </font>
    <font>
      <i/>
      <sz val="10"/>
      <color theme="1"/>
      <name val="Calibri Light"/>
      <family val="2"/>
      <scheme val="major"/>
    </font>
    <font>
      <sz val="11"/>
      <color theme="0" tint="-0.499984740745262"/>
      <name val="Calibri Light"/>
      <family val="2"/>
      <scheme val="major"/>
    </font>
    <font>
      <b/>
      <i/>
      <sz val="10"/>
      <color theme="1"/>
      <name val="Calibri Light"/>
      <family val="2"/>
      <scheme val="major"/>
    </font>
    <font>
      <b/>
      <u/>
      <sz val="8"/>
      <color theme="1"/>
      <name val="Calibri Light"/>
      <family val="2"/>
      <scheme val="major"/>
    </font>
    <font>
      <sz val="8"/>
      <color theme="1"/>
      <name val="Calibri Light"/>
      <family val="2"/>
      <scheme val="major"/>
    </font>
    <font>
      <b/>
      <sz val="12"/>
      <color theme="1"/>
      <name val="Calibri Light"/>
      <family val="2"/>
      <scheme val="major"/>
    </font>
    <font>
      <u/>
      <sz val="10"/>
      <color theme="1"/>
      <name val="Calibri Light"/>
      <family val="2"/>
      <scheme val="major"/>
    </font>
    <font>
      <b/>
      <sz val="10"/>
      <color theme="1"/>
      <name val="Arial"/>
      <family val="2"/>
    </font>
    <font>
      <sz val="9"/>
      <color theme="1"/>
      <name val="Calibri Light"/>
      <family val="2"/>
      <scheme val="major"/>
    </font>
    <font>
      <b/>
      <sz val="9"/>
      <name val="Arial"/>
      <family val="2"/>
    </font>
    <font>
      <sz val="9"/>
      <name val="Arial"/>
      <family val="2"/>
    </font>
    <font>
      <u/>
      <sz val="11"/>
      <color theme="10"/>
      <name val="Calibri Light"/>
      <family val="2"/>
      <scheme val="major"/>
    </font>
    <font>
      <u/>
      <sz val="11"/>
      <color theme="0" tint="-0.499984740745262"/>
      <name val="Calibri Light"/>
      <family val="2"/>
      <scheme val="major"/>
    </font>
    <font>
      <sz val="11"/>
      <color theme="0"/>
      <name val="Calibri Light"/>
      <family val="2"/>
      <scheme val="major"/>
    </font>
    <font>
      <b/>
      <sz val="10"/>
      <name val="Arial"/>
      <family val="2"/>
    </font>
    <font>
      <sz val="10"/>
      <name val="Arial"/>
      <family val="2"/>
    </font>
    <font>
      <b/>
      <sz val="14"/>
      <color theme="1"/>
      <name val="Calibri Light"/>
      <family val="2"/>
      <scheme val="major"/>
    </font>
    <font>
      <b/>
      <u/>
      <sz val="11"/>
      <color theme="1"/>
      <name val="Calibri Light"/>
      <family val="2"/>
      <scheme val="major"/>
    </font>
    <font>
      <b/>
      <sz val="11"/>
      <color theme="4" tint="-0.249977111117893"/>
      <name val="Calibri Light"/>
      <family val="2"/>
      <scheme val="major"/>
    </font>
    <font>
      <sz val="11"/>
      <color theme="10"/>
      <name val="Calibri Light"/>
      <family val="2"/>
      <scheme val="major"/>
    </font>
    <font>
      <sz val="11"/>
      <color rgb="FF0070C0"/>
      <name val="Calibri Light"/>
      <family val="2"/>
      <scheme val="major"/>
    </font>
    <font>
      <i/>
      <sz val="11"/>
      <color theme="1"/>
      <name val="Calibri Light"/>
      <family val="2"/>
      <scheme val="major"/>
    </font>
    <font>
      <u/>
      <sz val="10"/>
      <color theme="8"/>
      <name val="Arial"/>
      <family val="2"/>
    </font>
    <font>
      <b/>
      <sz val="9"/>
      <color theme="1"/>
      <name val="Calibri Light"/>
      <family val="2"/>
      <scheme val="major"/>
    </font>
    <font>
      <b/>
      <sz val="11"/>
      <color theme="4"/>
      <name val="Calibri Light"/>
      <family val="2"/>
      <scheme val="major"/>
    </font>
    <font>
      <u/>
      <sz val="11"/>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bgColor indexed="64"/>
      </patternFill>
    </fill>
    <fill>
      <patternFill patternType="solid">
        <fgColor rgb="FFCCEC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39997558519241921"/>
        <bgColor indexed="64"/>
      </patternFill>
    </fill>
  </fills>
  <borders count="32">
    <border>
      <left/>
      <right/>
      <top/>
      <bottom/>
      <diagonal/>
    </border>
    <border>
      <left style="medium">
        <color rgb="FFFFC000"/>
      </left>
      <right style="medium">
        <color rgb="FFFFC000"/>
      </right>
      <top style="medium">
        <color rgb="FFFFC000"/>
      </top>
      <bottom style="medium">
        <color rgb="FFFFC000"/>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rgb="FFFFC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indexed="64"/>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indexed="64"/>
      </right>
      <top style="thin">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31">
    <xf numFmtId="0" fontId="0" fillId="0" borderId="0" xfId="0"/>
    <xf numFmtId="0" fontId="4" fillId="2" borderId="0" xfId="0" applyFont="1" applyFill="1" applyBorder="1" applyAlignment="1">
      <alignment horizontal="left" vertical="center" wrapText="1"/>
    </xf>
    <xf numFmtId="0" fontId="3" fillId="2" borderId="0" xfId="0" applyFont="1" applyFill="1"/>
    <xf numFmtId="0" fontId="3" fillId="2" borderId="0" xfId="0" applyFont="1" applyFill="1" applyBorder="1"/>
    <xf numFmtId="3" fontId="3" fillId="2" borderId="0" xfId="0" applyNumberFormat="1" applyFont="1" applyFill="1" applyBorder="1"/>
    <xf numFmtId="0" fontId="10" fillId="2" borderId="0" xfId="0" applyFont="1" applyFill="1"/>
    <xf numFmtId="0" fontId="10" fillId="2" borderId="0" xfId="0" applyFont="1" applyFill="1" applyBorder="1"/>
    <xf numFmtId="0" fontId="4"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Alignment="1">
      <alignment horizontal="righ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3" fillId="2" borderId="0" xfId="0" applyFont="1" applyFill="1" applyBorder="1" applyAlignment="1">
      <alignment vertical="center"/>
    </xf>
    <xf numFmtId="0" fontId="9" fillId="2" borderId="0" xfId="0" applyFont="1" applyFill="1" applyBorder="1" applyAlignment="1">
      <alignment horizontal="left" vertical="center" wrapText="1"/>
    </xf>
    <xf numFmtId="0" fontId="18" fillId="2" borderId="0" xfId="0" applyFont="1" applyFill="1" applyBorder="1"/>
    <xf numFmtId="0" fontId="6" fillId="2" borderId="0" xfId="0" applyFont="1" applyFill="1" applyBorder="1" applyAlignment="1">
      <alignment horizontal="left" vertical="top" wrapText="1"/>
    </xf>
    <xf numFmtId="0" fontId="9" fillId="4" borderId="0" xfId="0" applyFont="1" applyFill="1" applyBorder="1" applyAlignment="1">
      <alignment horizontal="left" vertical="center" wrapText="1"/>
    </xf>
    <xf numFmtId="0" fontId="4" fillId="4" borderId="0" xfId="0" applyFont="1" applyFill="1" applyBorder="1" applyAlignment="1">
      <alignment horizontal="left" vertical="center" wrapText="1"/>
    </xf>
    <xf numFmtId="164" fontId="9" fillId="4" borderId="0" xfId="0" applyNumberFormat="1" applyFont="1" applyFill="1" applyBorder="1" applyAlignment="1">
      <alignment horizontal="left" vertical="center" wrapText="1"/>
    </xf>
    <xf numFmtId="165" fontId="9" fillId="4" borderId="0" xfId="0" applyNumberFormat="1" applyFont="1" applyFill="1" applyBorder="1" applyAlignment="1">
      <alignment horizontal="left" vertical="center" wrapText="1"/>
    </xf>
    <xf numFmtId="0" fontId="9" fillId="2" borderId="0" xfId="0" applyFont="1" applyFill="1" applyBorder="1" applyAlignment="1">
      <alignment horizontal="right" vertical="center" wrapText="1"/>
    </xf>
    <xf numFmtId="49" fontId="5" fillId="2" borderId="0" xfId="0" applyNumberFormat="1" applyFont="1" applyFill="1" applyBorder="1" applyAlignment="1" applyProtection="1">
      <alignment horizontal="center" vertical="center" wrapText="1"/>
      <protection locked="0"/>
    </xf>
    <xf numFmtId="3" fontId="5"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left" vertical="top" wrapText="1"/>
    </xf>
    <xf numFmtId="0" fontId="9" fillId="2" borderId="0" xfId="0"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horizontal="right" vertical="center" wrapText="1"/>
    </xf>
    <xf numFmtId="3" fontId="5" fillId="0" borderId="0" xfId="0" applyNumberFormat="1" applyFont="1" applyFill="1" applyBorder="1" applyAlignment="1" applyProtection="1">
      <alignment horizontal="center" vertical="center" wrapText="1"/>
      <protection locked="0"/>
    </xf>
    <xf numFmtId="0" fontId="0" fillId="0" borderId="0" xfId="0" applyAlignment="1">
      <alignment horizontal="left" wrapText="1"/>
    </xf>
    <xf numFmtId="0" fontId="15" fillId="2"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5" fillId="4" borderId="0" xfId="0" applyFont="1" applyFill="1" applyBorder="1" applyAlignment="1">
      <alignment horizontal="left" vertical="center" wrapText="1"/>
    </xf>
    <xf numFmtId="3" fontId="5" fillId="4" borderId="0" xfId="0" applyNumberFormat="1" applyFont="1" applyFill="1" applyBorder="1" applyAlignment="1" applyProtection="1">
      <alignment horizontal="center" vertical="center" wrapText="1"/>
      <protection locked="0"/>
    </xf>
    <xf numFmtId="0" fontId="5" fillId="4" borderId="0" xfId="0" applyFont="1" applyFill="1" applyBorder="1" applyAlignment="1">
      <alignment horizontal="left" vertical="center" wrapText="1"/>
    </xf>
    <xf numFmtId="3" fontId="9" fillId="4" borderId="0" xfId="0" applyNumberFormat="1" applyFont="1" applyFill="1" applyBorder="1" applyAlignment="1">
      <alignment horizontal="center" vertical="center" wrapText="1"/>
    </xf>
    <xf numFmtId="0" fontId="0" fillId="0" borderId="0" xfId="0" applyAlignment="1">
      <alignment vertical="center" wrapText="1"/>
    </xf>
    <xf numFmtId="0" fontId="9" fillId="2" borderId="0" xfId="0" applyFont="1" applyFill="1" applyAlignment="1">
      <alignment horizontal="right" vertical="center" wrapText="1"/>
    </xf>
    <xf numFmtId="0" fontId="9" fillId="2" borderId="0" xfId="0" applyFont="1" applyFill="1" applyAlignment="1">
      <alignment horizontal="left" vertical="center" wrapText="1"/>
    </xf>
    <xf numFmtId="2" fontId="9" fillId="6" borderId="15" xfId="0" applyNumberFormat="1" applyFont="1" applyFill="1" applyBorder="1" applyAlignment="1">
      <alignment horizontal="center" vertical="center" wrapText="1"/>
    </xf>
    <xf numFmtId="3" fontId="9" fillId="5" borderId="15" xfId="0" applyNumberFormat="1" applyFont="1" applyFill="1" applyBorder="1" applyAlignment="1" applyProtection="1">
      <alignment horizontal="center" vertical="center" wrapText="1"/>
      <protection locked="0"/>
    </xf>
    <xf numFmtId="3" fontId="9" fillId="2" borderId="0" xfId="0" applyNumberFormat="1" applyFont="1" applyFill="1" applyBorder="1" applyAlignment="1" applyProtection="1">
      <alignment horizontal="center" vertical="center" wrapText="1"/>
      <protection locked="0"/>
    </xf>
    <xf numFmtId="0" fontId="0" fillId="0" borderId="0" xfId="0" applyFont="1" applyAlignment="1">
      <alignment horizontal="center" vertical="center" wrapText="1"/>
    </xf>
    <xf numFmtId="164" fontId="9" fillId="0" borderId="0" xfId="0" applyNumberFormat="1" applyFont="1" applyFill="1" applyBorder="1" applyAlignment="1">
      <alignment horizontal="center" vertical="center" wrapText="1"/>
    </xf>
    <xf numFmtId="0" fontId="18" fillId="2" borderId="0" xfId="0" applyFont="1" applyFill="1" applyBorder="1" applyAlignment="1">
      <alignment horizontal="left" wrapText="1"/>
    </xf>
    <xf numFmtId="0" fontId="18" fillId="2" borderId="0" xfId="0" applyFont="1" applyFill="1" applyBorder="1" applyAlignment="1">
      <alignment wrapText="1"/>
    </xf>
    <xf numFmtId="0" fontId="18" fillId="4" borderId="0" xfId="0" applyFont="1" applyFill="1" applyBorder="1" applyAlignment="1">
      <alignment horizontal="left" wrapText="1"/>
    </xf>
    <xf numFmtId="164" fontId="11" fillId="2" borderId="0" xfId="0" applyNumberFormat="1" applyFont="1" applyFill="1" applyBorder="1" applyAlignment="1">
      <alignment horizontal="center" vertical="center" wrapText="1"/>
    </xf>
    <xf numFmtId="0" fontId="11" fillId="2" borderId="0" xfId="0" applyFont="1" applyFill="1" applyBorder="1" applyAlignment="1">
      <alignment horizontal="right" vertical="center" wrapText="1"/>
    </xf>
    <xf numFmtId="2" fontId="11" fillId="2" borderId="0"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0" fontId="9" fillId="2" borderId="0" xfId="0" applyFont="1" applyFill="1" applyBorder="1" applyAlignment="1">
      <alignment vertical="center" wrapText="1"/>
    </xf>
    <xf numFmtId="0" fontId="8" fillId="2" borderId="1" xfId="0" applyFont="1" applyFill="1" applyBorder="1" applyAlignment="1">
      <alignment vertical="center" wrapText="1"/>
    </xf>
    <xf numFmtId="0" fontId="8" fillId="2" borderId="0" xfId="0" applyFont="1" applyFill="1" applyBorder="1" applyAlignment="1">
      <alignment vertical="center" wrapText="1"/>
    </xf>
    <xf numFmtId="0" fontId="8" fillId="2" borderId="8" xfId="0" applyFont="1" applyFill="1" applyBorder="1" applyAlignment="1">
      <alignment horizontal="center" vertical="center" wrapText="1"/>
    </xf>
    <xf numFmtId="0" fontId="3" fillId="2" borderId="0" xfId="0" applyFont="1" applyFill="1" applyBorder="1" applyAlignment="1">
      <alignment horizontal="center"/>
    </xf>
    <xf numFmtId="0" fontId="8"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2" borderId="3" xfId="0" applyFont="1" applyFill="1" applyBorder="1" applyAlignment="1">
      <alignment vertical="top"/>
    </xf>
    <xf numFmtId="0" fontId="3" fillId="2" borderId="0" xfId="0" applyFont="1" applyFill="1" applyBorder="1" applyAlignment="1">
      <alignment vertical="top"/>
    </xf>
    <xf numFmtId="166" fontId="3" fillId="2" borderId="7" xfId="0" applyNumberFormat="1" applyFont="1" applyFill="1" applyBorder="1" applyAlignment="1">
      <alignment horizontal="right"/>
    </xf>
    <xf numFmtId="1" fontId="3" fillId="2" borderId="7" xfId="0" applyNumberFormat="1" applyFont="1" applyFill="1" applyBorder="1"/>
    <xf numFmtId="2" fontId="3" fillId="2" borderId="9" xfId="0" applyNumberFormat="1" applyFont="1" applyFill="1" applyBorder="1"/>
    <xf numFmtId="2" fontId="3" fillId="2" borderId="14" xfId="0" applyNumberFormat="1" applyFont="1" applyFill="1" applyBorder="1"/>
    <xf numFmtId="2" fontId="3" fillId="2" borderId="7" xfId="0" applyNumberFormat="1" applyFont="1" applyFill="1" applyBorder="1"/>
    <xf numFmtId="9" fontId="3" fillId="2" borderId="7" xfId="0" applyNumberFormat="1" applyFont="1" applyFill="1" applyBorder="1"/>
    <xf numFmtId="2" fontId="3" fillId="2" borderId="25" xfId="0" applyNumberFormat="1" applyFont="1" applyFill="1" applyBorder="1"/>
    <xf numFmtId="2" fontId="3" fillId="2" borderId="29" xfId="0" applyNumberFormat="1" applyFont="1" applyFill="1" applyBorder="1" applyAlignment="1"/>
    <xf numFmtId="2" fontId="3" fillId="2" borderId="0" xfId="0" applyNumberFormat="1" applyFont="1" applyFill="1" applyBorder="1" applyAlignment="1">
      <alignment horizontal="center"/>
    </xf>
    <xf numFmtId="3" fontId="3" fillId="2" borderId="10" xfId="0" applyNumberFormat="1" applyFont="1" applyFill="1" applyBorder="1"/>
    <xf numFmtId="0" fontId="3" fillId="2" borderId="2" xfId="0" applyFont="1" applyFill="1" applyBorder="1" applyAlignment="1">
      <alignment vertical="top"/>
    </xf>
    <xf numFmtId="2" fontId="3" fillId="2" borderId="6" xfId="0" applyNumberFormat="1" applyFont="1" applyFill="1" applyBorder="1"/>
    <xf numFmtId="2" fontId="3" fillId="2" borderId="28" xfId="0" applyNumberFormat="1" applyFont="1" applyFill="1" applyBorder="1" applyAlignment="1"/>
    <xf numFmtId="3" fontId="3" fillId="2" borderId="7" xfId="0" applyNumberFormat="1" applyFont="1" applyFill="1" applyBorder="1"/>
    <xf numFmtId="3" fontId="3" fillId="2" borderId="9" xfId="0" applyNumberFormat="1" applyFont="1" applyFill="1" applyBorder="1"/>
    <xf numFmtId="3" fontId="3" fillId="2" borderId="18" xfId="0" applyNumberFormat="1" applyFont="1" applyFill="1" applyBorder="1"/>
    <xf numFmtId="2" fontId="3" fillId="2" borderId="16" xfId="0" applyNumberFormat="1" applyFont="1" applyFill="1" applyBorder="1" applyAlignment="1"/>
    <xf numFmtId="0" fontId="3" fillId="2" borderId="4" xfId="0" applyFont="1" applyFill="1" applyBorder="1" applyAlignment="1">
      <alignment vertical="top"/>
    </xf>
    <xf numFmtId="0" fontId="3" fillId="2" borderId="10" xfId="0" applyFont="1" applyFill="1" applyBorder="1"/>
    <xf numFmtId="0" fontId="3" fillId="2" borderId="5" xfId="0" applyFont="1" applyFill="1" applyBorder="1" applyAlignment="1">
      <alignment vertical="top"/>
    </xf>
    <xf numFmtId="166" fontId="3" fillId="2" borderId="12" xfId="0" applyNumberFormat="1" applyFont="1" applyFill="1" applyBorder="1" applyAlignment="1">
      <alignment horizontal="right"/>
    </xf>
    <xf numFmtId="1" fontId="3" fillId="2" borderId="12" xfId="0" applyNumberFormat="1" applyFont="1" applyFill="1" applyBorder="1"/>
    <xf numFmtId="2" fontId="3" fillId="2" borderId="12" xfId="0" applyNumberFormat="1" applyFont="1" applyFill="1" applyBorder="1"/>
    <xf numFmtId="2" fontId="3" fillId="2" borderId="13" xfId="0" applyNumberFormat="1" applyFont="1" applyFill="1" applyBorder="1"/>
    <xf numFmtId="2" fontId="3" fillId="2" borderId="11" xfId="0" applyNumberFormat="1" applyFont="1" applyFill="1" applyBorder="1"/>
    <xf numFmtId="9" fontId="3" fillId="2" borderId="12" xfId="0" applyNumberFormat="1" applyFont="1" applyFill="1" applyBorder="1"/>
    <xf numFmtId="3" fontId="3" fillId="2" borderId="11" xfId="0" applyNumberFormat="1" applyFont="1" applyFill="1" applyBorder="1"/>
    <xf numFmtId="9" fontId="3" fillId="2" borderId="7" xfId="0" applyNumberFormat="1" applyFont="1" applyFill="1" applyBorder="1" applyAlignment="1">
      <alignment horizontal="right"/>
    </xf>
    <xf numFmtId="9" fontId="3" fillId="2" borderId="12" xfId="0" applyNumberFormat="1" applyFont="1" applyFill="1" applyBorder="1" applyAlignment="1">
      <alignment horizontal="right"/>
    </xf>
    <xf numFmtId="2" fontId="3" fillId="2" borderId="26" xfId="0" applyNumberFormat="1" applyFont="1" applyFill="1" applyBorder="1"/>
    <xf numFmtId="2" fontId="3" fillId="2" borderId="17" xfId="0" applyNumberFormat="1" applyFont="1" applyFill="1" applyBorder="1" applyAlignment="1"/>
    <xf numFmtId="2" fontId="3" fillId="2" borderId="10" xfId="0" applyNumberFormat="1" applyFont="1" applyFill="1" applyBorder="1"/>
    <xf numFmtId="2" fontId="3" fillId="2" borderId="15" xfId="0" applyNumberFormat="1" applyFont="1" applyFill="1" applyBorder="1" applyAlignment="1">
      <alignment horizontal="right"/>
    </xf>
    <xf numFmtId="3" fontId="3" fillId="2" borderId="24" xfId="0" applyNumberFormat="1" applyFont="1" applyFill="1" applyBorder="1"/>
    <xf numFmtId="3" fontId="3" fillId="2" borderId="25" xfId="0" applyNumberFormat="1" applyFont="1" applyFill="1" applyBorder="1"/>
    <xf numFmtId="2" fontId="3" fillId="2" borderId="0" xfId="0" applyNumberFormat="1" applyFont="1" applyFill="1" applyBorder="1"/>
    <xf numFmtId="3" fontId="10" fillId="2" borderId="20" xfId="0" applyNumberFormat="1" applyFont="1" applyFill="1" applyBorder="1"/>
    <xf numFmtId="3" fontId="3" fillId="2" borderId="20" xfId="0" applyNumberFormat="1" applyFont="1" applyFill="1" applyBorder="1"/>
    <xf numFmtId="3" fontId="10" fillId="2" borderId="0" xfId="0" applyNumberFormat="1" applyFont="1" applyFill="1" applyBorder="1"/>
    <xf numFmtId="2" fontId="3" fillId="2" borderId="19" xfId="0" applyNumberFormat="1" applyFont="1" applyFill="1" applyBorder="1"/>
    <xf numFmtId="3" fontId="10" fillId="2" borderId="21" xfId="0" applyNumberFormat="1" applyFont="1" applyFill="1" applyBorder="1"/>
    <xf numFmtId="3" fontId="3" fillId="2" borderId="21" xfId="0" applyNumberFormat="1" applyFont="1" applyFill="1" applyBorder="1"/>
    <xf numFmtId="0" fontId="3" fillId="2" borderId="9" xfId="0" applyFont="1" applyFill="1" applyBorder="1" applyAlignment="1">
      <alignment horizontal="right"/>
    </xf>
    <xf numFmtId="2" fontId="3" fillId="2" borderId="17" xfId="0" applyNumberFormat="1" applyFont="1" applyFill="1" applyBorder="1"/>
    <xf numFmtId="2" fontId="3" fillId="2" borderId="15" xfId="0" applyNumberFormat="1" applyFont="1" applyFill="1" applyBorder="1"/>
    <xf numFmtId="2" fontId="3" fillId="2" borderId="15" xfId="0" applyNumberFormat="1" applyFont="1" applyFill="1" applyBorder="1" applyAlignment="1">
      <alignment horizontal="center"/>
    </xf>
    <xf numFmtId="0" fontId="3" fillId="2" borderId="7" xfId="0" applyFont="1" applyFill="1" applyBorder="1" applyAlignment="1">
      <alignment horizontal="right"/>
    </xf>
    <xf numFmtId="3" fontId="3" fillId="2" borderId="25" xfId="0" applyNumberFormat="1" applyFont="1" applyFill="1" applyBorder="1" applyAlignment="1">
      <alignment horizontal="right"/>
    </xf>
    <xf numFmtId="0" fontId="3" fillId="2" borderId="0" xfId="0" applyFont="1" applyFill="1" applyBorder="1" applyAlignment="1">
      <alignment horizontal="right"/>
    </xf>
    <xf numFmtId="3" fontId="3" fillId="2" borderId="0" xfId="0" applyNumberFormat="1" applyFont="1" applyFill="1" applyBorder="1" applyAlignment="1">
      <alignment horizontal="right"/>
    </xf>
    <xf numFmtId="0" fontId="8" fillId="2" borderId="0" xfId="0" applyFont="1" applyFill="1" applyBorder="1"/>
    <xf numFmtId="0" fontId="13" fillId="2" borderId="0" xfId="0" applyFont="1" applyFill="1" applyBorder="1"/>
    <xf numFmtId="0" fontId="14" fillId="2" borderId="0" xfId="0" applyFont="1" applyFill="1" applyBorder="1"/>
    <xf numFmtId="0" fontId="18" fillId="2" borderId="15" xfId="0" applyFont="1" applyFill="1" applyBorder="1"/>
    <xf numFmtId="0" fontId="19" fillId="2" borderId="15" xfId="0" applyFont="1" applyFill="1" applyBorder="1"/>
    <xf numFmtId="0" fontId="20" fillId="2" borderId="15" xfId="0" applyFont="1" applyFill="1" applyBorder="1"/>
    <xf numFmtId="0" fontId="3" fillId="4" borderId="0" xfId="0" applyFont="1" applyFill="1"/>
    <xf numFmtId="0" fontId="10" fillId="4" borderId="0" xfId="0" applyFont="1" applyFill="1"/>
    <xf numFmtId="0" fontId="18" fillId="4" borderId="0" xfId="0" applyFont="1" applyFill="1" applyBorder="1"/>
    <xf numFmtId="0" fontId="10" fillId="4" borderId="0" xfId="0" applyFont="1" applyFill="1" applyBorder="1"/>
    <xf numFmtId="0" fontId="3" fillId="4" borderId="0" xfId="0" applyFont="1" applyFill="1" applyBorder="1"/>
    <xf numFmtId="3" fontId="3" fillId="4" borderId="0" xfId="0" applyNumberFormat="1" applyFont="1" applyFill="1" applyBorder="1"/>
    <xf numFmtId="0" fontId="23" fillId="4" borderId="0" xfId="0" applyFont="1" applyFill="1" applyBorder="1" applyAlignment="1">
      <alignment horizontal="left" vertical="center" wrapText="1"/>
    </xf>
    <xf numFmtId="0" fontId="16" fillId="2" borderId="0" xfId="0" applyFont="1" applyFill="1" applyBorder="1"/>
    <xf numFmtId="9" fontId="3" fillId="2" borderId="0" xfId="0" applyNumberFormat="1" applyFont="1" applyFill="1" applyBorder="1"/>
    <xf numFmtId="0" fontId="5" fillId="2" borderId="0" xfId="0" applyFont="1" applyFill="1" applyBorder="1" applyAlignment="1">
      <alignment vertical="center"/>
    </xf>
    <xf numFmtId="0" fontId="3" fillId="2" borderId="15" xfId="0" applyFont="1" applyFill="1" applyBorder="1" applyAlignment="1">
      <alignment vertical="top"/>
    </xf>
    <xf numFmtId="9" fontId="3" fillId="2" borderId="15" xfId="0" applyNumberFormat="1" applyFont="1" applyFill="1" applyBorder="1" applyAlignment="1" applyProtection="1">
      <alignment horizontal="right"/>
      <protection locked="0"/>
    </xf>
    <xf numFmtId="9" fontId="3" fillId="2" borderId="15" xfId="0" applyNumberFormat="1" applyFont="1" applyFill="1" applyBorder="1" applyProtection="1">
      <protection locked="0"/>
    </xf>
    <xf numFmtId="0" fontId="9" fillId="2" borderId="30" xfId="0" applyFont="1" applyFill="1" applyBorder="1" applyAlignment="1">
      <alignment horizontal="right"/>
    </xf>
    <xf numFmtId="0" fontId="8" fillId="2" borderId="30" xfId="0" applyFont="1" applyFill="1" applyBorder="1" applyProtection="1">
      <protection locked="0"/>
    </xf>
    <xf numFmtId="0" fontId="5" fillId="2" borderId="30" xfId="0" applyFont="1" applyFill="1" applyBorder="1"/>
    <xf numFmtId="0" fontId="9" fillId="2" borderId="28" xfId="0" applyFont="1" applyFill="1" applyBorder="1"/>
    <xf numFmtId="0" fontId="5" fillId="2" borderId="15" xfId="0" applyFont="1" applyFill="1" applyBorder="1" applyAlignment="1">
      <alignment horizontal="right" vertical="center" wrapText="1"/>
    </xf>
    <xf numFmtId="0" fontId="3" fillId="4" borderId="0" xfId="0" applyFont="1" applyFill="1" applyBorder="1" applyAlignment="1">
      <alignment vertical="center"/>
    </xf>
    <xf numFmtId="0" fontId="3" fillId="3" borderId="15" xfId="0" applyFont="1" applyFill="1" applyBorder="1" applyAlignment="1">
      <alignment vertical="top"/>
    </xf>
    <xf numFmtId="9" fontId="3" fillId="3" borderId="15" xfId="0" applyNumberFormat="1" applyFont="1" applyFill="1" applyBorder="1" applyProtection="1">
      <protection locked="0"/>
    </xf>
    <xf numFmtId="0" fontId="9" fillId="4" borderId="0" xfId="0" applyFont="1" applyFill="1" applyBorder="1" applyAlignment="1">
      <alignment vertical="top" wrapText="1"/>
    </xf>
    <xf numFmtId="0" fontId="9" fillId="2" borderId="0" xfId="0" applyFont="1" applyFill="1" applyBorder="1" applyAlignment="1">
      <alignmen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9" fillId="2" borderId="0" xfId="0" applyFont="1" applyFill="1" applyBorder="1" applyAlignment="1">
      <alignment horizontal="center" vertical="top" wrapText="1"/>
    </xf>
    <xf numFmtId="0" fontId="21" fillId="2" borderId="0" xfId="1" applyFont="1" applyFill="1" applyBorder="1" applyAlignment="1">
      <alignment horizontal="left"/>
    </xf>
    <xf numFmtId="0" fontId="21" fillId="4" borderId="0" xfId="1" applyFont="1" applyFill="1" applyBorder="1" applyAlignment="1">
      <alignment horizontal="left"/>
    </xf>
    <xf numFmtId="0" fontId="21" fillId="2" borderId="0" xfId="1" applyFont="1" applyFill="1" applyBorder="1" applyAlignment="1">
      <alignment vertical="top" wrapText="1"/>
    </xf>
    <xf numFmtId="0" fontId="21" fillId="4" borderId="0" xfId="1" applyFont="1" applyFill="1" applyBorder="1" applyAlignment="1">
      <alignment vertical="top" wrapText="1"/>
    </xf>
    <xf numFmtId="2" fontId="0" fillId="0" borderId="15" xfId="0" applyNumberFormat="1" applyFill="1" applyBorder="1"/>
    <xf numFmtId="2" fontId="25" fillId="0" borderId="15" xfId="0" applyNumberFormat="1" applyFont="1" applyFill="1" applyBorder="1"/>
    <xf numFmtId="2" fontId="24" fillId="0" borderId="15" xfId="0" applyNumberFormat="1" applyFont="1" applyFill="1" applyBorder="1" applyAlignment="1">
      <alignment horizontal="right"/>
    </xf>
    <xf numFmtId="0" fontId="0" fillId="4" borderId="0" xfId="0" applyFill="1" applyAlignment="1">
      <alignment vertical="center" wrapText="1"/>
    </xf>
    <xf numFmtId="0" fontId="0" fillId="2" borderId="0" xfId="0" applyFill="1" applyAlignment="1">
      <alignment vertical="center" wrapText="1"/>
    </xf>
    <xf numFmtId="0" fontId="9" fillId="2"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0" borderId="0" xfId="0" applyFont="1" applyFill="1" applyBorder="1" applyAlignment="1">
      <alignment vertical="top" wrapText="1"/>
    </xf>
    <xf numFmtId="0" fontId="0" fillId="0" borderId="0" xfId="0" applyFont="1" applyBorder="1" applyAlignment="1">
      <alignment vertical="center" wrapText="1"/>
    </xf>
    <xf numFmtId="0" fontId="9" fillId="2" borderId="0" xfId="1" applyFont="1" applyFill="1" applyBorder="1" applyAlignment="1">
      <alignment horizontal="left" vertical="center" wrapText="1"/>
    </xf>
    <xf numFmtId="0" fontId="0" fillId="2" borderId="0" xfId="0" applyFont="1" applyFill="1" applyBorder="1" applyAlignment="1">
      <alignment vertical="center" wrapText="1"/>
    </xf>
    <xf numFmtId="0" fontId="9" fillId="2" borderId="0" xfId="0" applyFont="1" applyFill="1" applyBorder="1" applyAlignment="1" applyProtection="1">
      <alignment horizontal="left" vertical="center" wrapText="1"/>
      <protection locked="0"/>
    </xf>
    <xf numFmtId="49" fontId="28" fillId="2" borderId="15" xfId="0" applyNumberFormat="1" applyFont="1" applyFill="1" applyBorder="1" applyAlignment="1" applyProtection="1">
      <alignment horizontal="right" vertical="top" wrapText="1"/>
      <protection locked="0"/>
    </xf>
    <xf numFmtId="0" fontId="0" fillId="2" borderId="0" xfId="0" applyFill="1" applyAlignment="1">
      <alignment vertical="center" wrapText="1"/>
    </xf>
    <xf numFmtId="0" fontId="9" fillId="4"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2" fontId="9" fillId="0" borderId="0" xfId="0" applyNumberFormat="1" applyFont="1" applyFill="1" applyBorder="1" applyAlignment="1">
      <alignment horizontal="center" vertical="center" wrapText="1"/>
    </xf>
    <xf numFmtId="0" fontId="0" fillId="2" borderId="0" xfId="0" applyFill="1" applyBorder="1" applyAlignment="1">
      <alignment horizontal="center" vertical="center" wrapText="1"/>
    </xf>
    <xf numFmtId="164" fontId="9" fillId="2" borderId="0" xfId="0" applyNumberFormat="1" applyFont="1" applyFill="1" applyBorder="1" applyAlignment="1">
      <alignment horizontal="center" vertical="center" wrapText="1"/>
    </xf>
    <xf numFmtId="0" fontId="3" fillId="2" borderId="0" xfId="0" applyFont="1" applyFill="1" applyAlignment="1">
      <alignment vertical="center" wrapText="1"/>
    </xf>
    <xf numFmtId="0" fontId="9" fillId="2" borderId="0" xfId="0" applyFont="1" applyFill="1" applyAlignment="1">
      <alignment vertical="center" wrapText="1"/>
    </xf>
    <xf numFmtId="0" fontId="5" fillId="2" borderId="0" xfId="0" applyFont="1" applyFill="1" applyAlignment="1">
      <alignment horizontal="left" vertical="center" wrapText="1"/>
    </xf>
    <xf numFmtId="0" fontId="9" fillId="4" borderId="0" xfId="0" applyFont="1" applyFill="1" applyAlignment="1">
      <alignment vertical="center" wrapText="1"/>
    </xf>
    <xf numFmtId="0" fontId="9" fillId="4" borderId="0" xfId="0" applyFont="1" applyFill="1" applyBorder="1" applyAlignment="1">
      <alignment vertical="center" wrapText="1"/>
    </xf>
    <xf numFmtId="0" fontId="34" fillId="0" borderId="0" xfId="0" applyFont="1" applyFill="1" applyBorder="1" applyAlignment="1" applyProtection="1">
      <alignment horizontal="center" vertical="center" wrapText="1"/>
      <protection locked="0"/>
    </xf>
    <xf numFmtId="49" fontId="9" fillId="5" borderId="15" xfId="0" applyNumberFormat="1" applyFont="1" applyFill="1" applyBorder="1" applyAlignment="1" applyProtection="1">
      <alignment horizontal="center" vertical="center" wrapText="1"/>
      <protection locked="0"/>
    </xf>
    <xf numFmtId="3" fontId="9" fillId="8" borderId="15" xfId="0" applyNumberFormat="1" applyFont="1" applyFill="1" applyBorder="1" applyAlignment="1" applyProtection="1">
      <alignment horizontal="center" vertical="center" wrapText="1"/>
      <protection locked="0"/>
    </xf>
    <xf numFmtId="0" fontId="29" fillId="2" borderId="0" xfId="1" applyFont="1" applyFill="1" applyBorder="1" applyAlignment="1" applyProtection="1">
      <alignment horizontal="left"/>
      <protection locked="0"/>
    </xf>
    <xf numFmtId="0" fontId="29" fillId="2" borderId="0" xfId="1" applyFont="1" applyFill="1" applyBorder="1" applyAlignment="1" applyProtection="1">
      <alignment vertical="top" wrapText="1"/>
      <protection locked="0"/>
    </xf>
    <xf numFmtId="3" fontId="8" fillId="2" borderId="15" xfId="0" applyNumberFormat="1" applyFont="1" applyFill="1" applyBorder="1" applyAlignment="1" applyProtection="1">
      <alignment vertical="top"/>
      <protection locked="0"/>
    </xf>
    <xf numFmtId="3" fontId="8" fillId="3" borderId="15" xfId="0" applyNumberFormat="1" applyFont="1" applyFill="1" applyBorder="1" applyAlignment="1" applyProtection="1">
      <alignment vertical="top"/>
      <protection locked="0"/>
    </xf>
    <xf numFmtId="0" fontId="6" fillId="2" borderId="0" xfId="0" applyFont="1" applyFill="1" applyBorder="1" applyAlignment="1">
      <alignment horizontal="left" vertical="center" wrapText="1"/>
    </xf>
    <xf numFmtId="0" fontId="3"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left" vertical="center" wrapText="1"/>
    </xf>
    <xf numFmtId="0" fontId="9" fillId="0" borderId="0" xfId="0" applyFont="1" applyFill="1" applyAlignment="1">
      <alignment vertical="center" wrapText="1"/>
    </xf>
    <xf numFmtId="0" fontId="5" fillId="2" borderId="0" xfId="0" applyFont="1" applyFill="1" applyAlignment="1">
      <alignment vertical="center" wrapText="1"/>
    </xf>
    <xf numFmtId="0" fontId="9" fillId="0" borderId="0" xfId="0" applyFont="1" applyAlignment="1">
      <alignment vertical="center" wrapText="1"/>
    </xf>
    <xf numFmtId="0" fontId="6" fillId="2" borderId="0" xfId="0" applyFont="1" applyFill="1" applyBorder="1" applyAlignment="1">
      <alignment horizontal="left" vertical="top" wrapText="1"/>
    </xf>
    <xf numFmtId="0" fontId="0" fillId="0" borderId="0" xfId="0" applyAlignment="1">
      <alignment horizontal="left" vertical="top" wrapText="1"/>
    </xf>
    <xf numFmtId="0" fontId="9" fillId="2" borderId="31" xfId="0" applyFont="1" applyFill="1" applyBorder="1" applyAlignment="1">
      <alignment horizontal="center" vertical="center" wrapText="1"/>
    </xf>
    <xf numFmtId="0" fontId="0" fillId="0" borderId="16" xfId="0" applyBorder="1" applyAlignment="1">
      <alignment horizontal="center" vertical="center" wrapText="1"/>
    </xf>
    <xf numFmtId="0" fontId="5" fillId="2" borderId="0" xfId="0" applyFont="1" applyFill="1" applyBorder="1" applyAlignment="1">
      <alignment horizontal="left" vertical="center" wrapText="1"/>
    </xf>
    <xf numFmtId="0" fontId="15" fillId="2" borderId="0" xfId="0" applyFont="1" applyFill="1" applyBorder="1" applyAlignment="1" applyProtection="1">
      <alignment horizontal="left" vertical="top" wrapText="1"/>
    </xf>
    <xf numFmtId="0" fontId="0" fillId="0" borderId="0" xfId="0" applyAlignment="1" applyProtection="1">
      <alignment horizontal="left" wrapText="1"/>
    </xf>
    <xf numFmtId="0" fontId="9" fillId="2" borderId="0" xfId="0" applyFont="1" applyFill="1" applyBorder="1" applyAlignment="1">
      <alignment horizontal="left" vertical="center" wrapText="1"/>
    </xf>
    <xf numFmtId="0" fontId="0" fillId="0" borderId="0" xfId="0" applyFont="1" applyAlignment="1">
      <alignment vertical="center" wrapText="1"/>
    </xf>
    <xf numFmtId="0" fontId="15" fillId="2" borderId="0" xfId="0" applyFont="1" applyFill="1" applyBorder="1" applyAlignment="1">
      <alignment horizontal="left" vertical="center" wrapText="1"/>
    </xf>
    <xf numFmtId="0" fontId="0" fillId="0" borderId="0" xfId="0" applyAlignment="1">
      <alignment vertical="center" wrapText="1"/>
    </xf>
    <xf numFmtId="0" fontId="9" fillId="2" borderId="0" xfId="1" applyFont="1" applyFill="1" applyBorder="1" applyAlignment="1">
      <alignment horizontal="left" vertical="center" wrapText="1"/>
    </xf>
    <xf numFmtId="0" fontId="0" fillId="0" borderId="0" xfId="0" applyFont="1" applyBorder="1" applyAlignment="1">
      <alignment vertical="center" wrapText="1"/>
    </xf>
    <xf numFmtId="0" fontId="9" fillId="4"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0" xfId="0" applyFont="1" applyAlignment="1">
      <alignment horizontal="left" vertical="center" wrapText="1"/>
    </xf>
    <xf numFmtId="0" fontId="11" fillId="2" borderId="0" xfId="0" applyFont="1" applyFill="1" applyBorder="1" applyAlignment="1">
      <alignment horizontal="left" vertical="center" wrapText="1"/>
    </xf>
    <xf numFmtId="0" fontId="9" fillId="2" borderId="0" xfId="0" applyFont="1" applyFill="1" applyBorder="1" applyAlignment="1">
      <alignment vertical="top" wrapText="1"/>
    </xf>
    <xf numFmtId="0" fontId="32" fillId="2" borderId="0" xfId="1" applyFont="1" applyFill="1" applyBorder="1" applyAlignment="1" applyProtection="1">
      <alignment horizontal="left" wrapText="1"/>
      <protection locked="0"/>
    </xf>
    <xf numFmtId="0" fontId="9" fillId="2" borderId="0" xfId="0" applyFont="1" applyFill="1" applyBorder="1" applyAlignment="1">
      <alignment horizontal="left" vertical="top" wrapText="1"/>
    </xf>
    <xf numFmtId="0" fontId="0" fillId="0" borderId="0" xfId="0" applyAlignment="1">
      <alignment vertical="top" wrapText="1"/>
    </xf>
    <xf numFmtId="0" fontId="0" fillId="0" borderId="0" xfId="0" applyFont="1" applyAlignment="1">
      <alignment horizontal="center" vertical="center" wrapText="1"/>
    </xf>
    <xf numFmtId="0" fontId="18" fillId="2" borderId="0" xfId="0" applyFont="1" applyFill="1" applyBorder="1" applyAlignment="1">
      <alignment vertical="center" wrapText="1"/>
    </xf>
    <xf numFmtId="0" fontId="18" fillId="2" borderId="0" xfId="0" applyFont="1" applyFill="1" applyBorder="1" applyAlignment="1">
      <alignment vertical="center"/>
    </xf>
    <xf numFmtId="0" fontId="0" fillId="0" borderId="0" xfId="0" applyAlignment="1">
      <alignment vertical="center"/>
    </xf>
    <xf numFmtId="0" fontId="6" fillId="2" borderId="0" xfId="0" applyFont="1" applyFill="1" applyBorder="1" applyAlignment="1">
      <alignment vertical="top"/>
    </xf>
    <xf numFmtId="0" fontId="0" fillId="0" borderId="0" xfId="0" applyAlignment="1"/>
    <xf numFmtId="0" fontId="5" fillId="2" borderId="15" xfId="0" applyFont="1" applyFill="1" applyBorder="1" applyAlignment="1">
      <alignment horizontal="right" vertical="center" wrapText="1"/>
    </xf>
    <xf numFmtId="0" fontId="5" fillId="2" borderId="15" xfId="0" applyFont="1" applyFill="1" applyBorder="1" applyAlignment="1">
      <alignment horizontal="left" vertical="center" wrapText="1"/>
    </xf>
    <xf numFmtId="3" fontId="5" fillId="2" borderId="15" xfId="0" applyNumberFormat="1" applyFont="1" applyFill="1" applyBorder="1" applyAlignment="1">
      <alignment horizontal="center"/>
    </xf>
    <xf numFmtId="0" fontId="5" fillId="2" borderId="15" xfId="0" applyFont="1" applyFill="1" applyBorder="1" applyAlignment="1">
      <alignment horizontal="center"/>
    </xf>
    <xf numFmtId="0" fontId="0" fillId="0" borderId="0" xfId="0" applyAlignment="1">
      <alignment horizontal="left" wrapText="1"/>
    </xf>
    <xf numFmtId="0" fontId="3" fillId="2" borderId="0" xfId="0" applyFont="1" applyFill="1" applyBorder="1" applyAlignment="1">
      <alignment vertical="top" wrapText="1"/>
    </xf>
    <xf numFmtId="0" fontId="8" fillId="2" borderId="21" xfId="0" applyFont="1" applyFill="1" applyBorder="1" applyAlignment="1">
      <alignment horizontal="center" vertical="center" wrapText="1"/>
    </xf>
    <xf numFmtId="0" fontId="0" fillId="2" borderId="21" xfId="0" applyFill="1" applyBorder="1" applyAlignment="1">
      <alignment horizontal="center" vertical="center" wrapText="1"/>
    </xf>
    <xf numFmtId="0" fontId="1" fillId="2" borderId="0" xfId="1" applyFill="1" applyBorder="1" applyAlignment="1" applyProtection="1">
      <alignment horizontal="left" vertical="top" wrapText="1"/>
      <protection locked="0"/>
    </xf>
    <xf numFmtId="0" fontId="1" fillId="2" borderId="0" xfId="1" applyFill="1" applyBorder="1" applyAlignment="1" applyProtection="1">
      <alignment horizontal="left"/>
      <protection locked="0"/>
    </xf>
    <xf numFmtId="0" fontId="17" fillId="2" borderId="2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color rgb="FFCCECFF"/>
      <color rgb="FFCCFFFF"/>
      <color rgb="FFCCFF99"/>
      <color rgb="FFD9FFFF"/>
      <color rgb="FF66FFFF"/>
      <color rgb="FFCCFF66"/>
      <color rgb="FF99CC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loud/sites/FacilitiesPlanning/Planning/Planning%20Hubs/North/Playing%20Pitch%20Strategies/Liverpool/Final%20PPS%202013/Liverpool%20SE%20TLPF%20database%20v10%20-%2015th%20February%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ver"/>
      <sheetName val="Start"/>
      <sheetName val="DropDowns"/>
      <sheetName val="Step 4 (Sites)"/>
      <sheetName val="Step 4 (lapsed Sites)"/>
      <sheetName val="Step 4&amp;6 (Pitches)"/>
      <sheetName val="Step 5 (Clubs)"/>
      <sheetName val="Step 5 (Teams)"/>
      <sheetName val="Step 5 (Displaced)"/>
      <sheetName val="Step 5 (Education Demand)"/>
      <sheetName val="Step 5 (Education Supply)"/>
      <sheetName val="Step 5 (TGR's)"/>
      <sheetName val="Step 7 (Current Picture)"/>
      <sheetName val="Step 8 (Scenarios)"/>
    </sheetNames>
    <sheetDataSet>
      <sheetData sheetId="0" refreshError="1"/>
      <sheetData sheetId="1" refreshError="1"/>
      <sheetData sheetId="2">
        <row r="30">
          <cell r="A30" t="str">
            <v>ALL ANALYSIS AREAS</v>
          </cell>
          <cell r="B30">
            <v>110203</v>
          </cell>
          <cell r="C30">
            <v>101536</v>
          </cell>
          <cell r="D30">
            <v>104708</v>
          </cell>
          <cell r="E30">
            <v>134216</v>
          </cell>
          <cell r="F30">
            <v>106488</v>
          </cell>
          <cell r="G30">
            <v>97865</v>
          </cell>
          <cell r="H30">
            <v>101166</v>
          </cell>
          <cell r="I30">
            <v>132372</v>
          </cell>
          <cell r="J30">
            <v>14877</v>
          </cell>
          <cell r="K30">
            <v>16502</v>
          </cell>
          <cell r="L30">
            <v>13330</v>
          </cell>
          <cell r="M30">
            <v>26990</v>
          </cell>
          <cell r="N30">
            <v>12591</v>
          </cell>
          <cell r="O30">
            <v>14464</v>
          </cell>
          <cell r="P30">
            <v>16170</v>
          </cell>
          <cell r="Q30">
            <v>12869</v>
          </cell>
          <cell r="R30">
            <v>26304</v>
          </cell>
          <cell r="S30">
            <v>12276</v>
          </cell>
          <cell r="T30">
            <v>17621</v>
          </cell>
          <cell r="U30">
            <v>27095</v>
          </cell>
          <cell r="V30">
            <v>22692</v>
          </cell>
        </row>
        <row r="31">
          <cell r="A31" t="str">
            <v>Liverpool North</v>
          </cell>
        </row>
        <row r="32">
          <cell r="A32" t="str">
            <v>Liverpool City Centre</v>
          </cell>
        </row>
        <row r="33">
          <cell r="A33" t="str">
            <v>Liverpool South</v>
          </cell>
        </row>
        <row r="34">
          <cell r="A34" t="str">
            <v>Ignore this row</v>
          </cell>
        </row>
        <row r="35">
          <cell r="A35" t="str">
            <v>Ignore this row</v>
          </cell>
        </row>
        <row r="36">
          <cell r="A36" t="str">
            <v>Ignore this row</v>
          </cell>
        </row>
        <row r="37">
          <cell r="A37" t="str">
            <v>Ignore this row</v>
          </cell>
        </row>
        <row r="38">
          <cell r="A38" t="str">
            <v>Ignore this row</v>
          </cell>
        </row>
        <row r="39">
          <cell r="A39" t="str">
            <v>Ignore this row</v>
          </cell>
        </row>
        <row r="40">
          <cell r="A40" t="str">
            <v>Ignore this row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uidance/community-infrastructure-levy" TargetMode="External"/><Relationship Id="rId1" Type="http://schemas.openxmlformats.org/officeDocument/2006/relationships/hyperlink" Target="https://www.sportengland.org/facilities-planning/tools-guidance/design-and-cost-guidance/cost-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s://www.sportengland.org/facilities-planning/tools-guidance/design-and-cost-guidance/cost-guidan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portengland.org/facilities-planning/tools-guidance/design-and-cost-guidance/cost-guidance/" TargetMode="External"/><Relationship Id="rId1" Type="http://schemas.openxmlformats.org/officeDocument/2006/relationships/hyperlink" Target="https://www.sportengland.org/facilities-planning/tools-guidance/design-and-cost-guidance/cost-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S214"/>
  <sheetViews>
    <sheetView tabSelected="1" zoomScaleNormal="100" zoomScaleSheetLayoutView="100" workbookViewId="0">
      <selection activeCell="D19" sqref="D19"/>
    </sheetView>
  </sheetViews>
  <sheetFormatPr defaultRowHeight="12.75" x14ac:dyDescent="0.2"/>
  <cols>
    <col min="1" max="1" width="9.140625" style="155"/>
    <col min="2" max="2" width="2.5703125" style="156" customWidth="1"/>
    <col min="3" max="3" width="43.85546875" style="156" customWidth="1"/>
    <col min="4" max="4" width="20.5703125" style="155" customWidth="1"/>
    <col min="5" max="5" width="128.140625" style="155" customWidth="1"/>
    <col min="6" max="6" width="2.42578125" style="155" customWidth="1"/>
    <col min="7" max="45" width="9.140625" style="155"/>
    <col min="46" max="16384" width="9.140625" style="156"/>
  </cols>
  <sheetData>
    <row r="1" spans="2:6" s="155" customFormat="1" ht="25.5" customHeight="1" x14ac:dyDescent="0.2"/>
    <row r="2" spans="2:6" ht="10.5" customHeight="1" x14ac:dyDescent="0.2">
      <c r="D2" s="156"/>
      <c r="E2" s="156"/>
      <c r="F2" s="167"/>
    </row>
    <row r="3" spans="2:6" ht="23.25" customHeight="1" x14ac:dyDescent="0.2">
      <c r="B3" s="173"/>
      <c r="C3" s="185" t="s">
        <v>562</v>
      </c>
      <c r="D3" s="186"/>
      <c r="E3" s="186"/>
      <c r="F3" s="167"/>
    </row>
    <row r="4" spans="2:6" ht="15" x14ac:dyDescent="0.2">
      <c r="B4" s="173"/>
      <c r="C4" s="169"/>
      <c r="D4" s="173"/>
      <c r="E4" s="173"/>
      <c r="F4" s="167"/>
    </row>
    <row r="5" spans="2:6" s="155" customFormat="1" ht="30" x14ac:dyDescent="0.2">
      <c r="B5" s="174"/>
      <c r="C5" s="175" t="s">
        <v>494</v>
      </c>
      <c r="D5" s="178" t="s">
        <v>501</v>
      </c>
      <c r="E5" s="175" t="s">
        <v>496</v>
      </c>
      <c r="F5" s="167"/>
    </row>
    <row r="6" spans="2:6" s="155" customFormat="1" ht="46.5" customHeight="1" x14ac:dyDescent="0.2">
      <c r="B6" s="174"/>
      <c r="C6" s="190" t="s">
        <v>543</v>
      </c>
      <c r="D6" s="191"/>
      <c r="E6" s="191"/>
      <c r="F6" s="167"/>
    </row>
    <row r="7" spans="2:6" s="155" customFormat="1" ht="60.75" customHeight="1" x14ac:dyDescent="0.2">
      <c r="B7" s="174"/>
      <c r="C7" s="188" t="s">
        <v>547</v>
      </c>
      <c r="D7" s="188"/>
      <c r="E7" s="188"/>
      <c r="F7" s="167"/>
    </row>
    <row r="8" spans="2:6" s="155" customFormat="1" ht="7.5" customHeight="1" x14ac:dyDescent="0.2">
      <c r="B8" s="174"/>
      <c r="C8" s="187" t="s">
        <v>540</v>
      </c>
      <c r="D8" s="187"/>
      <c r="E8" s="187"/>
      <c r="F8" s="167"/>
    </row>
    <row r="9" spans="2:6" s="155" customFormat="1" ht="15" x14ac:dyDescent="0.2">
      <c r="B9" s="174"/>
      <c r="C9" s="187" t="s">
        <v>542</v>
      </c>
      <c r="D9" s="187"/>
      <c r="E9" s="187"/>
      <c r="F9" s="167"/>
    </row>
    <row r="10" spans="2:6" s="155" customFormat="1" ht="15.75" customHeight="1" x14ac:dyDescent="0.2">
      <c r="B10" s="174"/>
      <c r="C10" s="187" t="s">
        <v>548</v>
      </c>
      <c r="D10" s="187"/>
      <c r="E10" s="187"/>
      <c r="F10" s="167"/>
    </row>
    <row r="11" spans="2:6" s="155" customFormat="1" ht="44.25" customHeight="1" x14ac:dyDescent="0.2">
      <c r="B11" s="174"/>
      <c r="C11" s="187" t="s">
        <v>500</v>
      </c>
      <c r="D11" s="187"/>
      <c r="E11" s="187"/>
      <c r="F11" s="167"/>
    </row>
    <row r="12" spans="2:6" s="155" customFormat="1" ht="38.25" customHeight="1" x14ac:dyDescent="0.2">
      <c r="B12" s="174"/>
      <c r="C12" s="187" t="s">
        <v>549</v>
      </c>
      <c r="D12" s="187"/>
      <c r="E12" s="187"/>
      <c r="F12" s="167"/>
    </row>
    <row r="13" spans="2:6" s="155" customFormat="1" ht="39.75" customHeight="1" x14ac:dyDescent="0.2">
      <c r="B13" s="174"/>
      <c r="C13" s="187" t="s">
        <v>544</v>
      </c>
      <c r="D13" s="191"/>
      <c r="E13" s="191"/>
      <c r="F13" s="167"/>
    </row>
    <row r="14" spans="2:6" s="155" customFormat="1" ht="28.5" customHeight="1" x14ac:dyDescent="0.2">
      <c r="B14" s="174"/>
      <c r="C14" s="187" t="s">
        <v>541</v>
      </c>
      <c r="D14" s="191"/>
      <c r="E14" s="191"/>
      <c r="F14" s="167"/>
    </row>
    <row r="15" spans="2:6" s="155" customFormat="1" ht="13.5" customHeight="1" x14ac:dyDescent="0.2">
      <c r="B15" s="176"/>
      <c r="C15" s="176"/>
      <c r="D15" s="176"/>
      <c r="E15" s="177"/>
    </row>
    <row r="16" spans="2:6" s="155" customFormat="1" ht="46.5" customHeight="1" x14ac:dyDescent="0.2">
      <c r="B16" s="189" t="s">
        <v>563</v>
      </c>
      <c r="C16" s="189"/>
      <c r="D16" s="189"/>
      <c r="E16" s="189"/>
      <c r="F16" s="167"/>
    </row>
    <row r="17" s="155" customFormat="1" x14ac:dyDescent="0.2"/>
    <row r="18" s="155" customFormat="1" x14ac:dyDescent="0.2"/>
    <row r="19" s="155" customFormat="1" x14ac:dyDescent="0.2"/>
    <row r="20" s="155" customFormat="1" x14ac:dyDescent="0.2"/>
    <row r="21" s="155" customFormat="1" x14ac:dyDescent="0.2"/>
    <row r="22" s="155" customFormat="1" x14ac:dyDescent="0.2"/>
    <row r="23" s="155" customFormat="1" x14ac:dyDescent="0.2"/>
    <row r="24" s="155" customFormat="1" x14ac:dyDescent="0.2"/>
    <row r="25" s="155" customFormat="1" x14ac:dyDescent="0.2"/>
    <row r="26" s="155" customFormat="1" x14ac:dyDescent="0.2"/>
    <row r="27" s="155" customFormat="1" x14ac:dyDescent="0.2"/>
    <row r="28" s="155" customFormat="1" x14ac:dyDescent="0.2"/>
    <row r="29" s="155" customFormat="1" x14ac:dyDescent="0.2"/>
    <row r="30" s="155" customFormat="1" x14ac:dyDescent="0.2"/>
    <row r="31" s="155" customFormat="1" x14ac:dyDescent="0.2"/>
    <row r="32" s="155" customFormat="1" x14ac:dyDescent="0.2"/>
    <row r="33" s="155" customFormat="1" x14ac:dyDescent="0.2"/>
    <row r="34" s="155" customFormat="1" x14ac:dyDescent="0.2"/>
    <row r="35" s="155" customFormat="1" x14ac:dyDescent="0.2"/>
    <row r="36" s="155" customFormat="1" x14ac:dyDescent="0.2"/>
    <row r="37" s="155" customFormat="1" x14ac:dyDescent="0.2"/>
    <row r="38" s="155" customFormat="1" x14ac:dyDescent="0.2"/>
    <row r="39" s="155" customFormat="1" x14ac:dyDescent="0.2"/>
    <row r="40" s="155" customFormat="1" x14ac:dyDescent="0.2"/>
    <row r="41" s="155" customFormat="1" x14ac:dyDescent="0.2"/>
    <row r="42" s="155" customFormat="1" x14ac:dyDescent="0.2"/>
    <row r="43" s="155" customFormat="1" x14ac:dyDescent="0.2"/>
    <row r="44" s="155" customFormat="1" x14ac:dyDescent="0.2"/>
    <row r="45" s="155" customFormat="1" x14ac:dyDescent="0.2"/>
    <row r="46" s="155" customFormat="1" x14ac:dyDescent="0.2"/>
    <row r="47" s="155" customFormat="1" x14ac:dyDescent="0.2"/>
    <row r="48" s="155" customFormat="1" x14ac:dyDescent="0.2"/>
    <row r="49" s="155" customFormat="1" x14ac:dyDescent="0.2"/>
    <row r="50" s="155" customFormat="1" x14ac:dyDescent="0.2"/>
    <row r="51" s="155" customFormat="1" x14ac:dyDescent="0.2"/>
    <row r="52" s="155" customFormat="1" x14ac:dyDescent="0.2"/>
    <row r="53" s="155" customFormat="1" x14ac:dyDescent="0.2"/>
    <row r="54" s="155" customFormat="1" x14ac:dyDescent="0.2"/>
    <row r="55" s="155" customFormat="1" x14ac:dyDescent="0.2"/>
    <row r="56" s="155" customFormat="1" x14ac:dyDescent="0.2"/>
    <row r="57" s="155" customFormat="1" x14ac:dyDescent="0.2"/>
    <row r="58" s="155" customFormat="1" x14ac:dyDescent="0.2"/>
    <row r="59" s="155" customFormat="1" x14ac:dyDescent="0.2"/>
    <row r="60" s="155" customFormat="1" x14ac:dyDescent="0.2"/>
    <row r="61" s="155" customFormat="1" x14ac:dyDescent="0.2"/>
    <row r="62" s="155" customFormat="1" x14ac:dyDescent="0.2"/>
    <row r="63" s="155" customFormat="1" x14ac:dyDescent="0.2"/>
    <row r="64" s="155" customFormat="1" x14ac:dyDescent="0.2"/>
    <row r="65" s="155" customFormat="1" x14ac:dyDescent="0.2"/>
    <row r="66" s="155" customFormat="1" x14ac:dyDescent="0.2"/>
    <row r="67" s="155" customFormat="1" x14ac:dyDescent="0.2"/>
    <row r="68" s="155" customFormat="1" x14ac:dyDescent="0.2"/>
    <row r="69" s="155" customFormat="1" x14ac:dyDescent="0.2"/>
    <row r="70" s="155" customFormat="1" x14ac:dyDescent="0.2"/>
    <row r="71" s="155" customFormat="1" x14ac:dyDescent="0.2"/>
    <row r="72" s="155" customFormat="1" x14ac:dyDescent="0.2"/>
    <row r="73" s="155" customFormat="1" x14ac:dyDescent="0.2"/>
    <row r="74" s="155" customFormat="1" x14ac:dyDescent="0.2"/>
    <row r="75" s="155" customFormat="1" x14ac:dyDescent="0.2"/>
    <row r="76" s="155" customFormat="1" x14ac:dyDescent="0.2"/>
    <row r="77" s="155" customFormat="1" x14ac:dyDescent="0.2"/>
    <row r="78" s="155" customFormat="1" x14ac:dyDescent="0.2"/>
    <row r="79" s="155" customFormat="1" x14ac:dyDescent="0.2"/>
    <row r="80" s="155" customFormat="1" x14ac:dyDescent="0.2"/>
    <row r="81" s="155" customFormat="1" x14ac:dyDescent="0.2"/>
    <row r="82" s="155" customFormat="1" x14ac:dyDescent="0.2"/>
    <row r="83" s="155" customFormat="1" x14ac:dyDescent="0.2"/>
    <row r="84" s="155" customFormat="1" x14ac:dyDescent="0.2"/>
    <row r="85" s="155" customFormat="1" x14ac:dyDescent="0.2"/>
    <row r="86" s="155" customFormat="1" x14ac:dyDescent="0.2"/>
    <row r="87" s="155" customFormat="1" x14ac:dyDescent="0.2"/>
    <row r="88" s="155" customFormat="1" x14ac:dyDescent="0.2"/>
    <row r="89" s="155" customFormat="1" x14ac:dyDescent="0.2"/>
    <row r="90" s="155" customFormat="1" x14ac:dyDescent="0.2"/>
    <row r="91" s="155" customFormat="1" x14ac:dyDescent="0.2"/>
    <row r="92" s="155" customFormat="1" x14ac:dyDescent="0.2"/>
    <row r="93" s="155" customFormat="1" x14ac:dyDescent="0.2"/>
    <row r="94" s="155" customFormat="1" x14ac:dyDescent="0.2"/>
    <row r="95" s="155" customFormat="1" x14ac:dyDescent="0.2"/>
    <row r="96" s="155" customFormat="1" x14ac:dyDescent="0.2"/>
    <row r="97" s="155" customFormat="1" x14ac:dyDescent="0.2"/>
    <row r="98" s="155" customFormat="1" x14ac:dyDescent="0.2"/>
    <row r="99" s="155" customFormat="1" x14ac:dyDescent="0.2"/>
    <row r="100" s="155" customFormat="1" x14ac:dyDescent="0.2"/>
    <row r="101" s="155" customFormat="1" x14ac:dyDescent="0.2"/>
    <row r="102" s="155" customFormat="1" x14ac:dyDescent="0.2"/>
    <row r="103" s="155" customFormat="1" x14ac:dyDescent="0.2"/>
    <row r="104" s="155" customFormat="1" x14ac:dyDescent="0.2"/>
    <row r="105" s="155" customFormat="1" x14ac:dyDescent="0.2"/>
    <row r="106" s="155" customFormat="1" x14ac:dyDescent="0.2"/>
    <row r="107" s="155" customFormat="1" x14ac:dyDescent="0.2"/>
    <row r="108" s="155" customFormat="1" x14ac:dyDescent="0.2"/>
    <row r="109" s="155" customFormat="1" x14ac:dyDescent="0.2"/>
    <row r="110" s="155" customFormat="1" x14ac:dyDescent="0.2"/>
    <row r="111" s="155" customFormat="1" x14ac:dyDescent="0.2"/>
    <row r="112" s="155" customFormat="1" x14ac:dyDescent="0.2"/>
    <row r="113" s="155" customFormat="1" x14ac:dyDescent="0.2"/>
    <row r="114" s="155" customFormat="1" x14ac:dyDescent="0.2"/>
    <row r="115" s="155" customFormat="1" x14ac:dyDescent="0.2"/>
    <row r="116" s="155" customFormat="1" x14ac:dyDescent="0.2"/>
    <row r="117" s="155" customFormat="1" x14ac:dyDescent="0.2"/>
    <row r="118" s="155" customFormat="1" x14ac:dyDescent="0.2"/>
    <row r="119" s="155" customFormat="1" x14ac:dyDescent="0.2"/>
    <row r="120" s="155" customFormat="1" x14ac:dyDescent="0.2"/>
    <row r="121" s="155" customFormat="1" x14ac:dyDescent="0.2"/>
    <row r="122" s="155" customFormat="1" x14ac:dyDescent="0.2"/>
    <row r="123" s="155" customFormat="1" x14ac:dyDescent="0.2"/>
    <row r="124" s="155" customFormat="1" x14ac:dyDescent="0.2"/>
    <row r="125" s="155" customFormat="1" x14ac:dyDescent="0.2"/>
    <row r="126" s="155" customFormat="1" x14ac:dyDescent="0.2"/>
    <row r="127" s="155" customFormat="1" x14ac:dyDescent="0.2"/>
    <row r="128" s="155" customFormat="1" x14ac:dyDescent="0.2"/>
    <row r="129" s="155" customFormat="1" x14ac:dyDescent="0.2"/>
    <row r="130" s="155" customFormat="1" x14ac:dyDescent="0.2"/>
    <row r="131" s="155" customFormat="1" x14ac:dyDescent="0.2"/>
    <row r="132" s="155" customFormat="1" x14ac:dyDescent="0.2"/>
    <row r="133" s="155" customFormat="1" x14ac:dyDescent="0.2"/>
    <row r="134" s="155" customFormat="1" x14ac:dyDescent="0.2"/>
    <row r="135" s="155" customFormat="1" x14ac:dyDescent="0.2"/>
    <row r="136" s="155" customFormat="1" x14ac:dyDescent="0.2"/>
    <row r="137" s="155" customFormat="1" x14ac:dyDescent="0.2"/>
    <row r="138" s="155" customFormat="1" x14ac:dyDescent="0.2"/>
    <row r="139" s="155" customFormat="1" x14ac:dyDescent="0.2"/>
    <row r="140" s="155" customFormat="1" x14ac:dyDescent="0.2"/>
    <row r="141" s="155" customFormat="1" x14ac:dyDescent="0.2"/>
    <row r="142" s="155" customFormat="1" x14ac:dyDescent="0.2"/>
    <row r="143" s="155" customFormat="1" x14ac:dyDescent="0.2"/>
    <row r="144"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sheetData>
  <sheetProtection algorithmName="SHA-512" hashValue="nNPM12cs6ZT92Vukc4hDyhZAV2J74TiCNnE89mA2wrvPeigUpMYYEUr+6dH4w58NGTfWkbGk1sPMUhJgwxmO3w==" saltValue="yfHdqEaC4Mf4sMWbaDP+xw==" spinCount="100000" sheet="1" objects="1" scenarios="1"/>
  <mergeCells count="11">
    <mergeCell ref="C12:E12"/>
    <mergeCell ref="B16:E16"/>
    <mergeCell ref="C6:E6"/>
    <mergeCell ref="C9:E9"/>
    <mergeCell ref="C14:E14"/>
    <mergeCell ref="C13:E13"/>
    <mergeCell ref="C3:E3"/>
    <mergeCell ref="C11:E11"/>
    <mergeCell ref="C7:E7"/>
    <mergeCell ref="C8:E8"/>
    <mergeCell ref="C10:E10"/>
  </mergeCell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W429"/>
  <sheetViews>
    <sheetView topLeftCell="C2" zoomScaleNormal="100" zoomScaleSheetLayoutView="80" workbookViewId="0">
      <selection activeCell="C10" sqref="C10"/>
    </sheetView>
  </sheetViews>
  <sheetFormatPr defaultRowHeight="15" x14ac:dyDescent="0.2"/>
  <cols>
    <col min="1" max="1" width="9.42578125" style="17" customWidth="1"/>
    <col min="2" max="2" width="2.7109375" style="8" customWidth="1"/>
    <col min="3" max="3" width="116" style="8" customWidth="1"/>
    <col min="4" max="4" width="49.42578125" style="8" customWidth="1"/>
    <col min="5" max="5" width="4.42578125" style="14" customWidth="1"/>
    <col min="6" max="6" width="23.85546875" style="8" customWidth="1"/>
    <col min="7" max="7" width="14.140625" style="8" customWidth="1"/>
    <col min="8" max="8" width="36.85546875" style="8" customWidth="1"/>
    <col min="9" max="9" width="14.140625" style="8" customWidth="1"/>
    <col min="10" max="10" width="1.5703125" style="8" customWidth="1"/>
    <col min="11" max="11" width="5" style="8" customWidth="1"/>
    <col min="12" max="49" width="8.85546875" style="17" customWidth="1"/>
    <col min="50" max="50" width="8.85546875" style="8" customWidth="1"/>
    <col min="51" max="16384" width="9.140625" style="8"/>
  </cols>
  <sheetData>
    <row r="1" spans="1:49" s="17" customFormat="1" ht="32.25" customHeight="1" x14ac:dyDescent="0.2"/>
    <row r="2" spans="1:49" s="14" customFormat="1" ht="10.5" customHeight="1" x14ac:dyDescent="0.2">
      <c r="A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1:49" ht="21" x14ac:dyDescent="0.2">
      <c r="C3" s="192" t="s">
        <v>564</v>
      </c>
      <c r="D3" s="193"/>
      <c r="E3" s="16"/>
      <c r="F3" s="32"/>
      <c r="G3" s="32"/>
      <c r="H3" s="32"/>
      <c r="I3" s="17"/>
      <c r="J3" s="17"/>
      <c r="K3" s="17"/>
    </row>
    <row r="4" spans="1:49" ht="12.75" customHeight="1" x14ac:dyDescent="0.2">
      <c r="F4" s="17"/>
      <c r="G4" s="17"/>
      <c r="H4" s="17"/>
      <c r="I4" s="17"/>
      <c r="J4" s="17"/>
      <c r="K4" s="17"/>
    </row>
    <row r="5" spans="1:49" s="14" customFormat="1" ht="30.75" customHeight="1" x14ac:dyDescent="0.2">
      <c r="A5" s="17"/>
      <c r="C5" s="196" t="s">
        <v>497</v>
      </c>
      <c r="D5" s="196"/>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1:49" s="14" customFormat="1" ht="17.25" customHeight="1" x14ac:dyDescent="0.2">
      <c r="A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1:49" s="1" customFormat="1" ht="15.75" x14ac:dyDescent="0.2">
      <c r="A7" s="18"/>
      <c r="C7" s="31" t="s">
        <v>479</v>
      </c>
      <c r="D7" s="31"/>
      <c r="E7" s="31"/>
      <c r="F7" s="33"/>
      <c r="G7" s="33"/>
      <c r="H7" s="33"/>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row>
    <row r="8" spans="1:49" s="1" customFormat="1" ht="7.5" customHeight="1" x14ac:dyDescent="0.2">
      <c r="A8" s="18"/>
      <c r="C8" s="31"/>
      <c r="D8" s="31"/>
      <c r="E8" s="31"/>
      <c r="F8" s="33"/>
      <c r="G8" s="33"/>
      <c r="H8" s="33"/>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row>
    <row r="9" spans="1:49" x14ac:dyDescent="0.2">
      <c r="C9" s="14" t="s">
        <v>473</v>
      </c>
      <c r="D9" s="179" t="s">
        <v>128</v>
      </c>
      <c r="E9" s="22"/>
      <c r="F9" s="17"/>
      <c r="G9" s="205"/>
      <c r="H9" s="206"/>
      <c r="I9" s="17"/>
      <c r="J9" s="17"/>
      <c r="K9" s="17"/>
    </row>
    <row r="10" spans="1:49" x14ac:dyDescent="0.2">
      <c r="D10" s="21"/>
      <c r="E10" s="21"/>
      <c r="F10" s="17"/>
      <c r="G10" s="17"/>
      <c r="H10" s="17"/>
      <c r="I10" s="17"/>
      <c r="J10" s="17"/>
      <c r="K10" s="17"/>
    </row>
    <row r="11" spans="1:49" s="14" customFormat="1" x14ac:dyDescent="0.2">
      <c r="A11" s="17"/>
      <c r="C11" s="165" t="s">
        <v>474</v>
      </c>
      <c r="D11" s="41">
        <v>116040</v>
      </c>
      <c r="E11" s="23"/>
      <c r="F11" s="3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1:49" s="14" customFormat="1" x14ac:dyDescent="0.2">
      <c r="A12" s="17"/>
      <c r="D12" s="42"/>
      <c r="E12" s="23"/>
      <c r="F12" s="3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1:49" x14ac:dyDescent="0.2">
      <c r="C13" s="14" t="s">
        <v>475</v>
      </c>
      <c r="D13" s="180">
        <v>500</v>
      </c>
      <c r="E13" s="29"/>
      <c r="F13" s="17"/>
      <c r="G13" s="17"/>
      <c r="H13" s="17"/>
      <c r="I13" s="20"/>
      <c r="J13" s="17"/>
      <c r="K13" s="19"/>
      <c r="M13" s="20"/>
    </row>
    <row r="14" spans="1:49" x14ac:dyDescent="0.2">
      <c r="C14" s="24"/>
      <c r="D14" s="14"/>
      <c r="F14" s="35"/>
      <c r="G14" s="36"/>
      <c r="H14" s="17"/>
      <c r="I14" s="17"/>
      <c r="J14" s="17"/>
      <c r="K14" s="17"/>
    </row>
    <row r="15" spans="1:49" s="14" customFormat="1" x14ac:dyDescent="0.2">
      <c r="A15" s="17"/>
      <c r="C15" s="197" t="s">
        <v>493</v>
      </c>
      <c r="D15" s="198"/>
      <c r="E15" s="30"/>
      <c r="F15" s="35"/>
      <c r="G15" s="36"/>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1:49" s="14" customFormat="1" ht="8.25" customHeight="1" x14ac:dyDescent="0.2">
      <c r="A16" s="17"/>
      <c r="C16" s="24"/>
      <c r="F16" s="35"/>
      <c r="G16" s="36"/>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1:49" ht="18" customHeight="1" x14ac:dyDescent="0.2">
      <c r="C17" s="21" t="s">
        <v>533</v>
      </c>
      <c r="D17" s="40">
        <f>SUM(Workings!O7:O8)</f>
        <v>0.114184763874526</v>
      </c>
      <c r="E17" s="27"/>
      <c r="F17" s="17"/>
      <c r="G17" s="205"/>
      <c r="H17" s="205"/>
      <c r="I17" s="17"/>
      <c r="J17" s="17"/>
      <c r="K17" s="17"/>
    </row>
    <row r="18" spans="1:49" ht="18" customHeight="1" x14ac:dyDescent="0.2">
      <c r="C18" s="21" t="s">
        <v>536</v>
      </c>
      <c r="D18" s="40">
        <f>SUM(Workings!O9:O12)</f>
        <v>0.18097207859358841</v>
      </c>
      <c r="E18" s="27"/>
      <c r="F18" s="17"/>
      <c r="G18" s="205"/>
      <c r="H18" s="205"/>
      <c r="I18" s="17"/>
      <c r="J18" s="17"/>
      <c r="K18" s="17"/>
    </row>
    <row r="19" spans="1:49" ht="18" customHeight="1" x14ac:dyDescent="0.2">
      <c r="C19" s="21" t="s">
        <v>537</v>
      </c>
      <c r="D19" s="40">
        <f>SUM(Workings!O13:O14)</f>
        <v>0.10987590486039298</v>
      </c>
      <c r="E19" s="27"/>
      <c r="F19" s="17"/>
      <c r="G19" s="205"/>
      <c r="H19" s="205"/>
      <c r="I19" s="17"/>
      <c r="J19" s="17"/>
      <c r="K19" s="17"/>
    </row>
    <row r="20" spans="1:49" ht="18" customHeight="1" x14ac:dyDescent="0.2">
      <c r="C20" s="21" t="s">
        <v>538</v>
      </c>
      <c r="D20" s="40">
        <f>SUM(Workings!O19:O23)</f>
        <v>5.7092381937263008E-2</v>
      </c>
      <c r="E20" s="27"/>
      <c r="F20" s="17"/>
      <c r="G20" s="205"/>
      <c r="H20" s="205"/>
      <c r="I20" s="17"/>
      <c r="J20" s="17"/>
      <c r="K20" s="17"/>
    </row>
    <row r="21" spans="1:49" ht="18" customHeight="1" x14ac:dyDescent="0.2">
      <c r="C21" s="21" t="s">
        <v>532</v>
      </c>
      <c r="D21" s="40">
        <f>SUM(Workings!O24:O28)</f>
        <v>0</v>
      </c>
      <c r="E21" s="27"/>
      <c r="F21" s="17"/>
      <c r="G21" s="205"/>
      <c r="H21" s="205"/>
      <c r="I21" s="17"/>
      <c r="J21" s="17"/>
      <c r="K21" s="17"/>
    </row>
    <row r="22" spans="1:49" ht="18" customHeight="1" x14ac:dyDescent="0.2">
      <c r="C22" s="21" t="s">
        <v>477</v>
      </c>
      <c r="D22" s="40">
        <f>SUM(Workings!O29:O32)</f>
        <v>6.2478455704929332E-2</v>
      </c>
      <c r="E22" s="27"/>
      <c r="F22" s="17"/>
      <c r="G22" s="205"/>
      <c r="H22" s="205"/>
      <c r="I22" s="17"/>
      <c r="J22" s="17"/>
      <c r="K22" s="17"/>
    </row>
    <row r="23" spans="1:49" ht="18" customHeight="1" x14ac:dyDescent="0.2">
      <c r="C23" s="21" t="s">
        <v>478</v>
      </c>
      <c r="D23" s="40">
        <f>SUM(Workings!O15:O18)</f>
        <v>2.8610823853843499</v>
      </c>
      <c r="E23" s="27"/>
      <c r="F23" s="17"/>
      <c r="G23" s="205"/>
      <c r="H23" s="205"/>
      <c r="I23" s="17"/>
      <c r="J23" s="17"/>
      <c r="K23" s="17"/>
    </row>
    <row r="24" spans="1:49" x14ac:dyDescent="0.2">
      <c r="C24" s="28"/>
      <c r="D24" s="28"/>
      <c r="E24" s="28"/>
      <c r="F24" s="35"/>
      <c r="G24" s="17"/>
      <c r="H24" s="17"/>
      <c r="I24" s="17"/>
      <c r="J24" s="17"/>
      <c r="K24" s="17"/>
    </row>
    <row r="25" spans="1:49" s="14" customFormat="1" ht="14.25" customHeight="1" x14ac:dyDescent="0.2">
      <c r="A25" s="17"/>
      <c r="C25" s="201" t="s">
        <v>550</v>
      </c>
      <c r="D25" s="202"/>
      <c r="E25" s="28"/>
      <c r="F25" s="35"/>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row>
    <row r="26" spans="1:49" s="14" customFormat="1" ht="9" customHeight="1" x14ac:dyDescent="0.2">
      <c r="A26" s="17"/>
      <c r="C26" s="31"/>
      <c r="D26" s="28"/>
      <c r="E26" s="28"/>
      <c r="F26" s="35"/>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row>
    <row r="27" spans="1:49" s="14" customFormat="1" ht="17.25" customHeight="1" x14ac:dyDescent="0.2">
      <c r="A27" s="17"/>
      <c r="C27" s="199" t="s">
        <v>480</v>
      </c>
      <c r="D27" s="200"/>
      <c r="E27" s="28"/>
      <c r="F27" s="35"/>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row>
    <row r="28" spans="1:49" s="14" customFormat="1" ht="17.25" customHeight="1" x14ac:dyDescent="0.2">
      <c r="A28" s="17"/>
      <c r="C28" s="199" t="s">
        <v>481</v>
      </c>
      <c r="D28" s="200"/>
      <c r="E28" s="28"/>
      <c r="F28" s="35"/>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row>
    <row r="29" spans="1:49" s="14" customFormat="1" x14ac:dyDescent="0.2">
      <c r="A29" s="17"/>
      <c r="C29" s="199" t="s">
        <v>482</v>
      </c>
      <c r="D29" s="200"/>
      <c r="E29" s="28"/>
      <c r="F29" s="35"/>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row>
    <row r="30" spans="1:49" s="14" customFormat="1" x14ac:dyDescent="0.2">
      <c r="A30" s="17"/>
      <c r="C30" s="199" t="s">
        <v>498</v>
      </c>
      <c r="D30" s="204"/>
      <c r="E30" s="28"/>
      <c r="F30" s="35"/>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row>
    <row r="31" spans="1:49" s="14" customFormat="1" x14ac:dyDescent="0.2">
      <c r="A31" s="17"/>
      <c r="C31" s="199" t="s">
        <v>551</v>
      </c>
      <c r="D31" s="204"/>
      <c r="E31" s="28"/>
      <c r="F31" s="35"/>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row>
    <row r="32" spans="1:49" s="14" customFormat="1" x14ac:dyDescent="0.2">
      <c r="A32" s="17"/>
      <c r="C32" s="160" t="s">
        <v>483</v>
      </c>
      <c r="D32" s="164"/>
      <c r="E32" s="28"/>
      <c r="F32" s="35"/>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49" s="14" customFormat="1" ht="29.25" customHeight="1" x14ac:dyDescent="0.2">
      <c r="A33" s="17"/>
      <c r="C33" s="210" t="s">
        <v>552</v>
      </c>
      <c r="D33" s="210"/>
      <c r="E33" s="28"/>
      <c r="F33" s="35"/>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49" s="160" customFormat="1" ht="12.75" customHeight="1" x14ac:dyDescent="0.2">
      <c r="A34" s="159"/>
      <c r="C34" s="143"/>
      <c r="D34" s="143"/>
      <c r="E34" s="28"/>
      <c r="F34" s="35"/>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row>
    <row r="35" spans="1:49" s="14" customFormat="1" x14ac:dyDescent="0.2">
      <c r="A35" s="17"/>
      <c r="C35" s="163" t="s">
        <v>520</v>
      </c>
      <c r="D35" s="162"/>
      <c r="E35" s="28"/>
      <c r="F35" s="35"/>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49" s="157" customFormat="1" ht="18.75" customHeight="1" x14ac:dyDescent="0.2">
      <c r="A36" s="158"/>
      <c r="C36" s="203" t="s">
        <v>539</v>
      </c>
      <c r="D36" s="204"/>
      <c r="E36" s="28"/>
      <c r="F36" s="35"/>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row>
    <row r="37" spans="1:49" s="14" customFormat="1" ht="18" customHeight="1" x14ac:dyDescent="0.2">
      <c r="A37" s="17"/>
      <c r="C37" s="199"/>
      <c r="D37" s="202"/>
      <c r="E37" s="28"/>
      <c r="F37" s="35"/>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49" s="14" customFormat="1" x14ac:dyDescent="0.2">
      <c r="A38" s="17"/>
      <c r="C38" s="201" t="s">
        <v>495</v>
      </c>
      <c r="D38" s="202"/>
      <c r="E38" s="28"/>
      <c r="F38" s="35"/>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row>
    <row r="39" spans="1:49" s="14" customFormat="1" ht="8.25" customHeight="1" x14ac:dyDescent="0.2">
      <c r="A39" s="17"/>
      <c r="C39" s="201"/>
      <c r="D39" s="202"/>
      <c r="E39" s="28"/>
      <c r="F39" s="35"/>
      <c r="G39" s="12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row>
    <row r="40" spans="1:49" s="14" customFormat="1" ht="33.75" customHeight="1" x14ac:dyDescent="0.2">
      <c r="A40" s="17"/>
      <c r="C40" s="212" t="s">
        <v>499</v>
      </c>
      <c r="D40" s="213"/>
      <c r="E40" s="28"/>
      <c r="F40" s="35"/>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row>
    <row r="41" spans="1:49" ht="27" customHeight="1" x14ac:dyDescent="0.2">
      <c r="C41" s="188" t="s">
        <v>553</v>
      </c>
      <c r="D41" s="202"/>
      <c r="E41" s="10"/>
      <c r="F41" s="35"/>
      <c r="G41" s="17"/>
      <c r="H41" s="17"/>
      <c r="I41" s="17"/>
      <c r="J41" s="17"/>
      <c r="K41" s="17"/>
    </row>
    <row r="42" spans="1:49" s="14" customFormat="1" x14ac:dyDescent="0.2">
      <c r="A42" s="17"/>
      <c r="C42" s="39"/>
      <c r="D42" s="37"/>
      <c r="E42" s="10"/>
      <c r="F42" s="9"/>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row>
    <row r="43" spans="1:49" s="14" customFormat="1" x14ac:dyDescent="0.2">
      <c r="A43" s="17"/>
      <c r="C43" s="38" t="s">
        <v>484</v>
      </c>
      <c r="D43" s="40">
        <f>Workings!Q33</f>
        <v>0.53991542325306541</v>
      </c>
      <c r="E43" s="194" t="s">
        <v>485</v>
      </c>
      <c r="F43" s="214"/>
      <c r="G43" s="51">
        <f>VLOOKUP(D9,Workings!D40:G376,4,FALSE)*Workings!U33</f>
        <v>63136.487725907318</v>
      </c>
      <c r="H43" s="25" t="s">
        <v>375</v>
      </c>
      <c r="I43" s="51">
        <f>Workings!Y33</f>
        <v>11331.923720884422</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row>
    <row r="44" spans="1:49" s="14" customFormat="1" x14ac:dyDescent="0.2">
      <c r="A44" s="17"/>
      <c r="C44" s="38"/>
      <c r="D44" s="26"/>
      <c r="E44" s="25"/>
      <c r="F44" s="43"/>
      <c r="G44" s="44"/>
      <c r="I44" s="44"/>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row>
    <row r="45" spans="1:49" s="14" customFormat="1" x14ac:dyDescent="0.2">
      <c r="A45" s="17"/>
      <c r="C45" s="21" t="s">
        <v>486</v>
      </c>
      <c r="D45" s="40">
        <f>SUM(Workings!Q7:Q8)</f>
        <v>0.114184763874526</v>
      </c>
      <c r="E45" s="194" t="s">
        <v>374</v>
      </c>
      <c r="F45" s="195"/>
      <c r="G45" s="51">
        <f>VLOOKUP(D9,Workings!D40:G376,4,FALSE)*Workings!U7</f>
        <v>10522.125991037572</v>
      </c>
      <c r="H45" s="25" t="s">
        <v>375</v>
      </c>
      <c r="I45" s="51">
        <f>SUM(Workings!Y7)</f>
        <v>2288.8335918648736</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row>
    <row r="46" spans="1:49" s="14" customFormat="1" x14ac:dyDescent="0.2">
      <c r="A46" s="17"/>
      <c r="C46" s="21" t="s">
        <v>487</v>
      </c>
      <c r="D46" s="40">
        <f>SUM(Workings!Q9:Q12)</f>
        <v>0.18097207859358841</v>
      </c>
      <c r="E46" s="194" t="s">
        <v>374</v>
      </c>
      <c r="F46" s="195"/>
      <c r="G46" s="51">
        <f>VLOOKUP(D9,Workings!D40:G376,4,FALSE)*Workings!U9</f>
        <v>13165.718717683556</v>
      </c>
      <c r="H46" s="25" t="s">
        <v>375</v>
      </c>
      <c r="I46" s="51">
        <f>SUM(Workings!Y9)</f>
        <v>2850.3102378490175</v>
      </c>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row>
    <row r="47" spans="1:49" s="14" customFormat="1" x14ac:dyDescent="0.2">
      <c r="A47" s="17"/>
      <c r="C47" s="21" t="s">
        <v>488</v>
      </c>
      <c r="D47" s="40">
        <f>SUM(Workings!Q13:Q14)</f>
        <v>0.10987590486039298</v>
      </c>
      <c r="E47" s="194" t="s">
        <v>374</v>
      </c>
      <c r="F47" s="195"/>
      <c r="G47" s="51">
        <f>VLOOKUP(D9,Workings!D40:G376,4,FALSE)*Workings!U13</f>
        <v>2664.4906928645296</v>
      </c>
      <c r="H47" s="25" t="s">
        <v>375</v>
      </c>
      <c r="I47" s="51">
        <f>SUM(Workings!Y13)</f>
        <v>576.84850051706314</v>
      </c>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row>
    <row r="48" spans="1:49" s="14" customFormat="1" x14ac:dyDescent="0.2">
      <c r="A48" s="17"/>
      <c r="C48" s="21" t="s">
        <v>476</v>
      </c>
      <c r="D48" s="40">
        <f>SUM(Workings!Q19:Q23)</f>
        <v>5.7092381937263008E-2</v>
      </c>
      <c r="E48" s="194" t="s">
        <v>374</v>
      </c>
      <c r="F48" s="195"/>
      <c r="G48" s="51">
        <f>VLOOKUP(D9,Workings!D40:G376,4,FALSE)*Workings!U19</f>
        <v>7476.2474146845907</v>
      </c>
      <c r="H48" s="25" t="s">
        <v>375</v>
      </c>
      <c r="I48" s="51">
        <f>SUM(Workings!Y19)</f>
        <v>1649.3989141675281</v>
      </c>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row>
    <row r="49" spans="1:49" s="14" customFormat="1" x14ac:dyDescent="0.2">
      <c r="A49" s="17"/>
      <c r="C49" s="21" t="s">
        <v>489</v>
      </c>
      <c r="D49" s="40">
        <f>SUM(Workings!Q24:Q28)</f>
        <v>0</v>
      </c>
      <c r="E49" s="194" t="s">
        <v>374</v>
      </c>
      <c r="F49" s="195"/>
      <c r="G49" s="51">
        <f>VLOOKUP(D9,Workings!D40:G376,4,FALSE)*Workings!U24</f>
        <v>0</v>
      </c>
      <c r="H49" s="25" t="s">
        <v>375</v>
      </c>
      <c r="I49" s="51">
        <f>SUM(Workings!Y24)</f>
        <v>0</v>
      </c>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row>
    <row r="50" spans="1:49" s="14" customFormat="1" x14ac:dyDescent="0.2">
      <c r="A50" s="17"/>
      <c r="C50" s="21" t="s">
        <v>477</v>
      </c>
      <c r="D50" s="40">
        <f>SUM(Workings!Q29:Q32)/4</f>
        <v>1.5619613926232333E-2</v>
      </c>
      <c r="E50" s="194" t="s">
        <v>374</v>
      </c>
      <c r="F50" s="195"/>
      <c r="G50" s="51">
        <f>VLOOKUP(D9,Workings!D40:G376,4,FALSE)*Workings!U29</f>
        <v>12120.820406756289</v>
      </c>
      <c r="H50" s="25" t="s">
        <v>375</v>
      </c>
      <c r="I50" s="51">
        <f>SUM(Workings!Y29)</f>
        <v>387.36642537056184</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row>
    <row r="51" spans="1:49" s="14" customFormat="1" x14ac:dyDescent="0.2">
      <c r="A51" s="17"/>
      <c r="C51" s="21" t="s">
        <v>478</v>
      </c>
      <c r="D51" s="40">
        <f>SUM(Workings!Q15:Q18)</f>
        <v>6.2170680061062689E-2</v>
      </c>
      <c r="E51" s="194" t="s">
        <v>374</v>
      </c>
      <c r="F51" s="195"/>
      <c r="G51" s="51">
        <f>VLOOKUP(D9,Workings!D40:G376,4,FALSE)*Workings!U15</f>
        <v>17187.084502880778</v>
      </c>
      <c r="H51" s="25" t="s">
        <v>375</v>
      </c>
      <c r="I51" s="51">
        <f>SUM(Workings!Y15)</f>
        <v>3579.1660511153791</v>
      </c>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row>
    <row r="52" spans="1:49" s="169" customFormat="1" x14ac:dyDescent="0.2">
      <c r="A52" s="168"/>
      <c r="C52" s="21"/>
      <c r="D52" s="170"/>
      <c r="E52" s="25"/>
      <c r="F52" s="171"/>
      <c r="G52" s="172"/>
      <c r="H52" s="25"/>
      <c r="I52" s="172"/>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row>
    <row r="53" spans="1:49" s="169" customFormat="1" ht="24" customHeight="1" x14ac:dyDescent="0.2">
      <c r="A53" s="168"/>
      <c r="C53" s="207" t="s">
        <v>535</v>
      </c>
      <c r="D53" s="208"/>
      <c r="E53" s="200"/>
      <c r="F53" s="200"/>
      <c r="G53" s="200"/>
      <c r="H53" s="200"/>
      <c r="I53" s="200"/>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row>
    <row r="54" spans="1:49" s="45" customFormat="1" ht="30.75" customHeight="1" x14ac:dyDescent="0.2">
      <c r="A54" s="47"/>
      <c r="C54" s="211" t="s">
        <v>565</v>
      </c>
      <c r="D54" s="211"/>
      <c r="E54" s="211"/>
      <c r="F54" s="211"/>
      <c r="G54" s="211"/>
      <c r="H54" s="211"/>
      <c r="I54" s="211"/>
      <c r="J54" s="46"/>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ht="26.25" hidden="1" customHeight="1" x14ac:dyDescent="0.2">
      <c r="C55" s="209" t="s">
        <v>534</v>
      </c>
      <c r="D55" s="209"/>
      <c r="E55" s="209"/>
      <c r="F55" s="209"/>
      <c r="G55" s="209"/>
      <c r="H55" s="209"/>
      <c r="I55" s="209"/>
      <c r="J55" s="209"/>
      <c r="K55" s="17"/>
    </row>
    <row r="56" spans="1:49" ht="9.75" hidden="1" customHeight="1" x14ac:dyDescent="0.2">
      <c r="C56" s="11"/>
      <c r="D56" s="11"/>
      <c r="E56" s="11"/>
      <c r="F56" s="11"/>
      <c r="G56" s="11"/>
      <c r="H56" s="11"/>
      <c r="I56" s="11"/>
      <c r="J56" s="11"/>
      <c r="K56" s="17"/>
    </row>
    <row r="57" spans="1:49" hidden="1" x14ac:dyDescent="0.2">
      <c r="C57" s="49" t="s">
        <v>490</v>
      </c>
      <c r="D57" s="50">
        <f>Workings!R33</f>
        <v>6</v>
      </c>
      <c r="E57" s="50"/>
      <c r="F57" s="12" t="s">
        <v>374</v>
      </c>
      <c r="G57" s="48">
        <f>Workings!AB33</f>
        <v>1315000</v>
      </c>
      <c r="H57" s="12" t="s">
        <v>375</v>
      </c>
      <c r="I57" s="48">
        <f>Workings!AF33</f>
        <v>138535</v>
      </c>
      <c r="J57" s="11"/>
      <c r="K57" s="17"/>
    </row>
    <row r="58" spans="1:49" hidden="1" x14ac:dyDescent="0.2">
      <c r="C58" s="49" t="s">
        <v>486</v>
      </c>
      <c r="D58" s="50">
        <f>Workings!R7</f>
        <v>1</v>
      </c>
      <c r="E58" s="50"/>
      <c r="F58" s="12" t="s">
        <v>374</v>
      </c>
      <c r="G58" s="48">
        <f>Workings!AB7</f>
        <v>85000</v>
      </c>
      <c r="H58" s="12" t="s">
        <v>375</v>
      </c>
      <c r="I58" s="48">
        <f>Workings!AF7</f>
        <v>17935</v>
      </c>
      <c r="J58" s="11"/>
      <c r="K58" s="17"/>
    </row>
    <row r="59" spans="1:49" hidden="1" x14ac:dyDescent="0.2">
      <c r="C59" s="49" t="s">
        <v>487</v>
      </c>
      <c r="D59" s="50">
        <f>Workings!R9</f>
        <v>1</v>
      </c>
      <c r="E59" s="50"/>
      <c r="F59" s="12" t="s">
        <v>374</v>
      </c>
      <c r="G59" s="48">
        <f>Workings!AB9</f>
        <v>70000</v>
      </c>
      <c r="H59" s="12" t="s">
        <v>375</v>
      </c>
      <c r="I59" s="48">
        <f>Workings!AF9</f>
        <v>14700</v>
      </c>
      <c r="J59" s="11"/>
      <c r="K59" s="17"/>
    </row>
    <row r="60" spans="1:49" hidden="1" x14ac:dyDescent="0.2">
      <c r="C60" s="49" t="s">
        <v>488</v>
      </c>
      <c r="D60" s="50">
        <f>Workings!R13</f>
        <v>1</v>
      </c>
      <c r="E60" s="50"/>
      <c r="F60" s="12" t="s">
        <v>374</v>
      </c>
      <c r="G60" s="48">
        <f>Workings!AB13</f>
        <v>20000</v>
      </c>
      <c r="H60" s="12" t="s">
        <v>375</v>
      </c>
      <c r="I60" s="48">
        <f>Workings!AF13</f>
        <v>4200</v>
      </c>
      <c r="J60" s="11"/>
      <c r="K60" s="17"/>
    </row>
    <row r="61" spans="1:49" hidden="1" x14ac:dyDescent="0.2">
      <c r="C61" s="49" t="s">
        <v>476</v>
      </c>
      <c r="D61" s="50">
        <f>Workings!R19</f>
        <v>1</v>
      </c>
      <c r="E61" s="50"/>
      <c r="F61" s="12" t="s">
        <v>374</v>
      </c>
      <c r="G61" s="48">
        <f>Workings!AB19</f>
        <v>115000</v>
      </c>
      <c r="H61" s="12" t="s">
        <v>375</v>
      </c>
      <c r="I61" s="48">
        <f>Workings!AF19</f>
        <v>24610</v>
      </c>
      <c r="J61" s="11"/>
      <c r="K61" s="17"/>
    </row>
    <row r="62" spans="1:49" hidden="1" x14ac:dyDescent="0.2">
      <c r="C62" s="49" t="s">
        <v>489</v>
      </c>
      <c r="D62" s="50">
        <f>Workings!R24</f>
        <v>0</v>
      </c>
      <c r="E62" s="50"/>
      <c r="F62" s="12" t="s">
        <v>374</v>
      </c>
      <c r="G62" s="48">
        <f>Workings!AB24</f>
        <v>0</v>
      </c>
      <c r="H62" s="12" t="s">
        <v>375</v>
      </c>
      <c r="I62" s="48">
        <f>Workings!AF24</f>
        <v>0</v>
      </c>
      <c r="J62" s="11"/>
      <c r="K62" s="17"/>
    </row>
    <row r="63" spans="1:49" hidden="1" x14ac:dyDescent="0.2">
      <c r="C63" s="49" t="s">
        <v>477</v>
      </c>
      <c r="D63" s="50">
        <f>Workings!R29</f>
        <v>1</v>
      </c>
      <c r="E63" s="50"/>
      <c r="F63" s="12" t="s">
        <v>374</v>
      </c>
      <c r="G63" s="48">
        <f>Workings!AB29</f>
        <v>760000</v>
      </c>
      <c r="H63" s="12" t="s">
        <v>375</v>
      </c>
      <c r="I63" s="48">
        <f>Workings!AF29</f>
        <v>23560</v>
      </c>
      <c r="J63" s="11"/>
      <c r="K63" s="17"/>
    </row>
    <row r="64" spans="1:49" hidden="1" x14ac:dyDescent="0.2">
      <c r="C64" s="49" t="s">
        <v>478</v>
      </c>
      <c r="D64" s="50">
        <f>Workings!R15</f>
        <v>1</v>
      </c>
      <c r="E64" s="50"/>
      <c r="F64" s="12" t="s">
        <v>374</v>
      </c>
      <c r="G64" s="48">
        <f>Workings!AB15</f>
        <v>265000</v>
      </c>
      <c r="H64" s="12" t="s">
        <v>375</v>
      </c>
      <c r="I64" s="48">
        <f>Workings!AF15</f>
        <v>53530</v>
      </c>
      <c r="J64" s="11"/>
      <c r="K64" s="17"/>
    </row>
    <row r="65" spans="3:11" x14ac:dyDescent="0.2">
      <c r="C65" s="14"/>
      <c r="D65" s="14"/>
      <c r="F65" s="14"/>
      <c r="G65" s="14"/>
      <c r="H65" s="14"/>
      <c r="I65" s="14"/>
      <c r="J65" s="14"/>
      <c r="K65" s="17"/>
    </row>
    <row r="66" spans="3:11" s="17" customFormat="1" x14ac:dyDescent="0.2"/>
    <row r="67" spans="3:11" s="17" customFormat="1" x14ac:dyDescent="0.2"/>
    <row r="68" spans="3:11" s="17" customFormat="1" x14ac:dyDescent="0.2"/>
    <row r="69" spans="3:11" s="17" customFormat="1" x14ac:dyDescent="0.2"/>
    <row r="70" spans="3:11" s="17" customFormat="1" x14ac:dyDescent="0.2"/>
    <row r="71" spans="3:11" s="17" customFormat="1" x14ac:dyDescent="0.2"/>
    <row r="72" spans="3:11" s="17" customFormat="1" x14ac:dyDescent="0.2"/>
    <row r="73" spans="3:11" s="17" customFormat="1" x14ac:dyDescent="0.2"/>
    <row r="74" spans="3:11" s="17" customFormat="1" x14ac:dyDescent="0.2"/>
    <row r="75" spans="3:11" s="17" customFormat="1" x14ac:dyDescent="0.2"/>
    <row r="76" spans="3:11" s="17" customFormat="1" x14ac:dyDescent="0.2"/>
    <row r="77" spans="3:11" s="17" customFormat="1" x14ac:dyDescent="0.2"/>
    <row r="78" spans="3:11" s="17" customFormat="1" x14ac:dyDescent="0.2"/>
    <row r="79" spans="3:11" s="17" customFormat="1" x14ac:dyDescent="0.2"/>
    <row r="80" spans="3:11"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sheetData>
  <sheetProtection algorithmName="SHA-512" hashValue="XSADtlkTH3NyEGolgeF8a+JC+stju6qG5tg8QXYJCkMvskMb1yxzYoBOBO8RAhupfsjcLpXqnlJ2igydKeospg==" saltValue="FyFvZqdmhozXLNBwCO11OA==" spinCount="100000" sheet="1" objects="1" scenarios="1"/>
  <mergeCells count="35">
    <mergeCell ref="C53:I53"/>
    <mergeCell ref="C55:J55"/>
    <mergeCell ref="G20:H20"/>
    <mergeCell ref="G21:H21"/>
    <mergeCell ref="C30:D30"/>
    <mergeCell ref="C31:D31"/>
    <mergeCell ref="C33:D33"/>
    <mergeCell ref="C37:D37"/>
    <mergeCell ref="C54:I54"/>
    <mergeCell ref="C27:D27"/>
    <mergeCell ref="C39:D39"/>
    <mergeCell ref="C40:D40"/>
    <mergeCell ref="C41:D41"/>
    <mergeCell ref="E43:F43"/>
    <mergeCell ref="E45:F45"/>
    <mergeCell ref="E51:F51"/>
    <mergeCell ref="G19:H19"/>
    <mergeCell ref="G23:H23"/>
    <mergeCell ref="G9:H9"/>
    <mergeCell ref="G17:H17"/>
    <mergeCell ref="G18:H18"/>
    <mergeCell ref="G22:H22"/>
    <mergeCell ref="C3:D3"/>
    <mergeCell ref="E47:F47"/>
    <mergeCell ref="E48:F48"/>
    <mergeCell ref="E49:F49"/>
    <mergeCell ref="E50:F50"/>
    <mergeCell ref="C5:D5"/>
    <mergeCell ref="C15:D15"/>
    <mergeCell ref="C28:D28"/>
    <mergeCell ref="C25:D25"/>
    <mergeCell ref="C29:D29"/>
    <mergeCell ref="C38:D38"/>
    <mergeCell ref="C36:D36"/>
    <mergeCell ref="E46:F46"/>
  </mergeCells>
  <dataValidations count="1">
    <dataValidation type="whole" allowBlank="1" showInputMessage="1" showErrorMessage="1" sqref="D13:E13">
      <formula1>0</formula1>
      <formula2>10000000</formula2>
    </dataValidation>
  </dataValidations>
  <hyperlinks>
    <hyperlink ref="C54:I54" r:id="rId1" display="https://www.sportengland.org/facilities-planning/tools-guidance/design-and-cost-guidance/cost-guidance/"/>
    <hyperlink ref="C35" r:id="rId2" location="other-developer-contributions"/>
  </hyperlinks>
  <pageMargins left="0.70866141732283472" right="0.70866141732283472" top="0.74803149606299213" bottom="0.74803149606299213" header="0.31496062992125984" footer="0.31496062992125984"/>
  <pageSetup paperSize="9" scale="58"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Workings!$D$40:$D$376</xm:f>
          </x14:formula1>
          <xm:sqref>D9:E9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S426"/>
  <sheetViews>
    <sheetView topLeftCell="A13" zoomScaleNormal="100" zoomScaleSheetLayoutView="100" workbookViewId="0">
      <selection activeCell="C36" sqref="C36:H36"/>
    </sheetView>
  </sheetViews>
  <sheetFormatPr defaultColWidth="8.85546875" defaultRowHeight="12.75" x14ac:dyDescent="0.2"/>
  <cols>
    <col min="1" max="1" width="8.85546875" style="125"/>
    <col min="2" max="2" width="2.7109375" style="3" customWidth="1"/>
    <col min="3" max="3" width="36.140625" style="3" customWidth="1"/>
    <col min="4" max="5" width="30.140625" style="3" customWidth="1"/>
    <col min="6" max="6" width="1.7109375" style="3" customWidth="1"/>
    <col min="7" max="8" width="30.140625" style="3" customWidth="1"/>
    <col min="9" max="9" width="4.7109375" style="3" customWidth="1"/>
    <col min="10" max="10" width="12.85546875" style="125" customWidth="1"/>
    <col min="11" max="11" width="23" style="125" customWidth="1"/>
    <col min="12" max="12" width="2.140625" style="125" customWidth="1"/>
    <col min="13" max="13" width="3.7109375" style="125" customWidth="1"/>
    <col min="14" max="45" width="8.85546875" style="125"/>
    <col min="46" max="16384" width="8.85546875" style="3"/>
  </cols>
  <sheetData>
    <row r="1" spans="1:45" s="125" customFormat="1" ht="30.75" customHeight="1" x14ac:dyDescent="0.2"/>
    <row r="2" spans="1:45" ht="11.25" customHeight="1" x14ac:dyDescent="0.2"/>
    <row r="3" spans="1:45" ht="21" x14ac:dyDescent="0.2">
      <c r="C3" s="218" t="s">
        <v>566</v>
      </c>
      <c r="D3" s="219"/>
      <c r="E3" s="219"/>
      <c r="F3" s="219"/>
      <c r="G3" s="219"/>
      <c r="H3" s="219"/>
    </row>
    <row r="4" spans="1:45" ht="12.75" customHeight="1" x14ac:dyDescent="0.2"/>
    <row r="5" spans="1:45" s="13" customFormat="1" ht="220.5" customHeight="1" x14ac:dyDescent="0.2">
      <c r="A5" s="139"/>
      <c r="C5" s="199" t="s">
        <v>554</v>
      </c>
      <c r="D5" s="199"/>
      <c r="E5" s="199"/>
      <c r="F5" s="199"/>
      <c r="G5" s="199"/>
      <c r="H5" s="19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row>
    <row r="6" spans="1:45" ht="15.75" x14ac:dyDescent="0.2">
      <c r="C6" s="7"/>
      <c r="D6" s="7"/>
      <c r="E6" s="7"/>
      <c r="F6" s="7"/>
      <c r="G6" s="7"/>
      <c r="H6" s="7"/>
    </row>
    <row r="7" spans="1:45" ht="18" customHeight="1" x14ac:dyDescent="0.25">
      <c r="C7" s="137"/>
      <c r="D7" s="223" t="s">
        <v>376</v>
      </c>
      <c r="E7" s="223"/>
      <c r="F7" s="136"/>
      <c r="G7" s="222" t="s">
        <v>377</v>
      </c>
      <c r="H7" s="222"/>
    </row>
    <row r="8" spans="1:45" ht="44.25" customHeight="1" x14ac:dyDescent="0.25">
      <c r="C8" s="221" t="s">
        <v>0</v>
      </c>
      <c r="D8" s="138" t="s">
        <v>457</v>
      </c>
      <c r="E8" s="138" t="s">
        <v>458</v>
      </c>
      <c r="F8" s="134"/>
      <c r="G8" s="220" t="s">
        <v>545</v>
      </c>
      <c r="H8" s="220" t="s">
        <v>461</v>
      </c>
    </row>
    <row r="9" spans="1:45" ht="15" x14ac:dyDescent="0.25">
      <c r="C9" s="221"/>
      <c r="D9" s="166" t="s">
        <v>573</v>
      </c>
      <c r="E9" s="166" t="s">
        <v>573</v>
      </c>
      <c r="F9" s="134"/>
      <c r="G9" s="220"/>
      <c r="H9" s="220"/>
    </row>
    <row r="10" spans="1:45" x14ac:dyDescent="0.2">
      <c r="C10" s="140" t="s">
        <v>1</v>
      </c>
      <c r="D10" s="184">
        <v>21677</v>
      </c>
      <c r="E10" s="184">
        <v>442.38775510204084</v>
      </c>
      <c r="F10" s="135"/>
      <c r="G10" s="141">
        <v>1</v>
      </c>
      <c r="H10" s="141">
        <v>0</v>
      </c>
    </row>
    <row r="11" spans="1:45" x14ac:dyDescent="0.2">
      <c r="C11" s="140" t="s">
        <v>2</v>
      </c>
      <c r="D11" s="184">
        <v>20427</v>
      </c>
      <c r="E11" s="184">
        <v>5106.75</v>
      </c>
      <c r="F11" s="135"/>
      <c r="G11" s="141">
        <v>1</v>
      </c>
      <c r="H11" s="141">
        <v>0</v>
      </c>
    </row>
    <row r="12" spans="1:45" x14ac:dyDescent="0.2">
      <c r="C12" s="140" t="s">
        <v>3</v>
      </c>
      <c r="D12" s="184">
        <v>2677</v>
      </c>
      <c r="E12" s="184">
        <v>58.195652173913047</v>
      </c>
      <c r="F12" s="135"/>
      <c r="G12" s="141">
        <v>1</v>
      </c>
      <c r="H12" s="141">
        <v>0</v>
      </c>
    </row>
    <row r="13" spans="1:45" x14ac:dyDescent="0.2">
      <c r="C13" s="140" t="s">
        <v>4</v>
      </c>
      <c r="D13" s="184">
        <v>2573</v>
      </c>
      <c r="E13" s="184">
        <v>514.6</v>
      </c>
      <c r="F13" s="135"/>
      <c r="G13" s="141">
        <v>1</v>
      </c>
      <c r="H13" s="141">
        <v>0</v>
      </c>
    </row>
    <row r="14" spans="1:45" x14ac:dyDescent="0.2">
      <c r="C14" s="140" t="s">
        <v>5</v>
      </c>
      <c r="D14" s="184">
        <v>1360</v>
      </c>
      <c r="E14" s="184">
        <v>43.87096774193548</v>
      </c>
      <c r="F14" s="135"/>
      <c r="G14" s="141">
        <v>1</v>
      </c>
      <c r="H14" s="141">
        <v>0</v>
      </c>
    </row>
    <row r="15" spans="1:45" x14ac:dyDescent="0.2">
      <c r="C15" s="140" t="s">
        <v>6</v>
      </c>
      <c r="D15" s="184">
        <v>1314</v>
      </c>
      <c r="E15" s="184">
        <v>657</v>
      </c>
      <c r="F15" s="135"/>
      <c r="G15" s="141">
        <v>1</v>
      </c>
      <c r="H15" s="141">
        <v>0</v>
      </c>
    </row>
    <row r="16" spans="1:45" x14ac:dyDescent="0.2">
      <c r="C16" s="140" t="s">
        <v>7</v>
      </c>
      <c r="D16" s="184">
        <v>2645</v>
      </c>
      <c r="E16" s="184">
        <v>176.33333333333334</v>
      </c>
      <c r="F16" s="135"/>
      <c r="G16" s="141">
        <v>1</v>
      </c>
      <c r="H16" s="141">
        <v>0</v>
      </c>
    </row>
    <row r="17" spans="3:8" x14ac:dyDescent="0.2">
      <c r="C17" s="140" t="s">
        <v>8</v>
      </c>
      <c r="D17" s="184">
        <v>2871</v>
      </c>
      <c r="E17" s="184">
        <v>79.75</v>
      </c>
      <c r="F17" s="135"/>
      <c r="G17" s="141">
        <v>1</v>
      </c>
      <c r="H17" s="141">
        <v>0</v>
      </c>
    </row>
    <row r="18" spans="3:8" x14ac:dyDescent="0.2">
      <c r="C18" s="131" t="s">
        <v>9</v>
      </c>
      <c r="D18" s="183">
        <v>28830</v>
      </c>
      <c r="E18" s="183">
        <v>823.71428571428567</v>
      </c>
      <c r="F18" s="135"/>
      <c r="G18" s="132" t="s">
        <v>378</v>
      </c>
      <c r="H18" s="133">
        <v>0</v>
      </c>
    </row>
    <row r="19" spans="3:8" x14ac:dyDescent="0.2">
      <c r="C19" s="131" t="s">
        <v>10</v>
      </c>
      <c r="D19" s="183">
        <v>27641</v>
      </c>
      <c r="E19" s="183">
        <v>27641</v>
      </c>
      <c r="F19" s="135"/>
      <c r="G19" s="132" t="s">
        <v>378</v>
      </c>
      <c r="H19" s="133">
        <v>0</v>
      </c>
    </row>
    <row r="20" spans="3:8" x14ac:dyDescent="0.2">
      <c r="C20" s="131" t="s">
        <v>11</v>
      </c>
      <c r="D20" s="183">
        <v>8108</v>
      </c>
      <c r="E20" s="183">
        <v>213.36842105263159</v>
      </c>
      <c r="F20" s="135"/>
      <c r="G20" s="132" t="s">
        <v>378</v>
      </c>
      <c r="H20" s="133">
        <v>0</v>
      </c>
    </row>
    <row r="21" spans="3:8" x14ac:dyDescent="0.2">
      <c r="C21" s="131" t="s">
        <v>12</v>
      </c>
      <c r="D21" s="183">
        <v>7902</v>
      </c>
      <c r="E21" s="183">
        <v>0</v>
      </c>
      <c r="F21" s="135"/>
      <c r="G21" s="132" t="s">
        <v>378</v>
      </c>
      <c r="H21" s="133">
        <v>0</v>
      </c>
    </row>
    <row r="22" spans="3:8" x14ac:dyDescent="0.2">
      <c r="C22" s="140" t="s">
        <v>13</v>
      </c>
      <c r="D22" s="184">
        <v>19637</v>
      </c>
      <c r="E22" s="184">
        <v>2454.625</v>
      </c>
      <c r="F22" s="135"/>
      <c r="G22" s="141">
        <v>1</v>
      </c>
      <c r="H22" s="141">
        <v>0</v>
      </c>
    </row>
    <row r="23" spans="3:8" x14ac:dyDescent="0.2">
      <c r="C23" s="140" t="s">
        <v>14</v>
      </c>
      <c r="D23" s="184">
        <v>18450</v>
      </c>
      <c r="E23" s="184">
        <v>0</v>
      </c>
      <c r="F23" s="135"/>
      <c r="G23" s="141">
        <v>1</v>
      </c>
      <c r="H23" s="141">
        <v>0</v>
      </c>
    </row>
    <row r="24" spans="3:8" x14ac:dyDescent="0.2">
      <c r="C24" s="140" t="s">
        <v>15</v>
      </c>
      <c r="D24" s="184">
        <v>4063</v>
      </c>
      <c r="E24" s="184">
        <v>369.36363636363637</v>
      </c>
      <c r="F24" s="135"/>
      <c r="G24" s="141">
        <v>1</v>
      </c>
      <c r="H24" s="141">
        <v>0</v>
      </c>
    </row>
    <row r="25" spans="3:8" x14ac:dyDescent="0.2">
      <c r="C25" s="140" t="s">
        <v>16</v>
      </c>
      <c r="D25" s="184">
        <v>3924</v>
      </c>
      <c r="E25" s="184">
        <v>1308</v>
      </c>
      <c r="F25" s="135"/>
      <c r="G25" s="141">
        <v>1</v>
      </c>
      <c r="H25" s="141">
        <v>0</v>
      </c>
    </row>
    <row r="26" spans="3:8" x14ac:dyDescent="0.2">
      <c r="C26" s="140" t="s">
        <v>17</v>
      </c>
      <c r="D26" s="184">
        <v>8023</v>
      </c>
      <c r="E26" s="184">
        <v>445.72222222222223</v>
      </c>
      <c r="F26" s="135"/>
      <c r="G26" s="141">
        <v>1</v>
      </c>
      <c r="H26" s="141">
        <v>0</v>
      </c>
    </row>
    <row r="27" spans="3:8" x14ac:dyDescent="0.2">
      <c r="C27" s="131" t="s">
        <v>18</v>
      </c>
      <c r="D27" s="183">
        <v>19637</v>
      </c>
      <c r="E27" s="183">
        <v>0</v>
      </c>
      <c r="F27" s="135"/>
      <c r="G27" s="133">
        <v>1</v>
      </c>
      <c r="H27" s="133">
        <v>0</v>
      </c>
    </row>
    <row r="28" spans="3:8" x14ac:dyDescent="0.2">
      <c r="C28" s="131" t="s">
        <v>19</v>
      </c>
      <c r="D28" s="183">
        <v>18450</v>
      </c>
      <c r="E28" s="183">
        <v>0</v>
      </c>
      <c r="F28" s="135"/>
      <c r="G28" s="133">
        <v>1</v>
      </c>
      <c r="H28" s="133">
        <v>0</v>
      </c>
    </row>
    <row r="29" spans="3:8" x14ac:dyDescent="0.2">
      <c r="C29" s="131" t="s">
        <v>20</v>
      </c>
      <c r="D29" s="183">
        <v>4717</v>
      </c>
      <c r="E29" s="183">
        <v>0</v>
      </c>
      <c r="F29" s="135"/>
      <c r="G29" s="133">
        <v>1</v>
      </c>
      <c r="H29" s="133">
        <v>0</v>
      </c>
    </row>
    <row r="30" spans="3:8" x14ac:dyDescent="0.2">
      <c r="C30" s="131" t="s">
        <v>21</v>
      </c>
      <c r="D30" s="183">
        <v>4550</v>
      </c>
      <c r="E30" s="183">
        <v>0</v>
      </c>
      <c r="F30" s="135"/>
      <c r="G30" s="133">
        <v>1</v>
      </c>
      <c r="H30" s="133">
        <v>0</v>
      </c>
    </row>
    <row r="31" spans="3:8" x14ac:dyDescent="0.2">
      <c r="C31" s="131" t="s">
        <v>22</v>
      </c>
      <c r="D31" s="183">
        <v>6743</v>
      </c>
      <c r="E31" s="183">
        <v>0</v>
      </c>
      <c r="F31" s="135"/>
      <c r="G31" s="133">
        <v>1</v>
      </c>
      <c r="H31" s="133">
        <v>0</v>
      </c>
    </row>
    <row r="32" spans="3:8" x14ac:dyDescent="0.2">
      <c r="C32" s="140" t="s">
        <v>23</v>
      </c>
      <c r="D32" s="184">
        <v>30209</v>
      </c>
      <c r="E32" s="184">
        <v>2746.2727272727275</v>
      </c>
      <c r="F32" s="135"/>
      <c r="G32" s="141">
        <v>1</v>
      </c>
      <c r="H32" s="141">
        <v>0</v>
      </c>
    </row>
    <row r="33" spans="3:8" x14ac:dyDescent="0.2">
      <c r="C33" s="140" t="s">
        <v>24</v>
      </c>
      <c r="D33" s="184">
        <v>28939</v>
      </c>
      <c r="E33" s="184">
        <v>2893.9</v>
      </c>
      <c r="F33" s="135"/>
      <c r="G33" s="141">
        <v>1</v>
      </c>
      <c r="H33" s="141">
        <v>0</v>
      </c>
    </row>
    <row r="34" spans="3:8" x14ac:dyDescent="0.2">
      <c r="C34" s="140" t="s">
        <v>25</v>
      </c>
      <c r="D34" s="184">
        <v>3368</v>
      </c>
      <c r="E34" s="184">
        <v>842</v>
      </c>
      <c r="F34" s="135"/>
      <c r="G34" s="141">
        <v>1</v>
      </c>
      <c r="H34" s="141">
        <v>0</v>
      </c>
    </row>
    <row r="35" spans="3:8" x14ac:dyDescent="0.2">
      <c r="C35" s="140" t="s">
        <v>26</v>
      </c>
      <c r="D35" s="184">
        <v>3226</v>
      </c>
      <c r="E35" s="184">
        <v>806.5</v>
      </c>
      <c r="F35" s="135"/>
      <c r="G35" s="141">
        <v>1</v>
      </c>
      <c r="H35" s="141">
        <v>0</v>
      </c>
    </row>
    <row r="36" spans="3:8" ht="162.75" customHeight="1" x14ac:dyDescent="0.2">
      <c r="C36" s="215" t="s">
        <v>560</v>
      </c>
      <c r="D36" s="202"/>
      <c r="E36" s="202"/>
      <c r="F36" s="202"/>
      <c r="G36" s="202"/>
      <c r="H36" s="202"/>
    </row>
    <row r="37" spans="3:8" ht="18" customHeight="1" x14ac:dyDescent="0.2">
      <c r="C37" s="216" t="s">
        <v>546</v>
      </c>
      <c r="D37" s="217"/>
      <c r="E37" s="217"/>
      <c r="F37" s="217"/>
      <c r="G37" s="217"/>
      <c r="H37" s="217"/>
    </row>
    <row r="38" spans="3:8" ht="8.25" customHeight="1" x14ac:dyDescent="0.2"/>
    <row r="39" spans="3:8" s="125" customFormat="1" x14ac:dyDescent="0.2"/>
    <row r="40" spans="3:8" s="125" customFormat="1" x14ac:dyDescent="0.2"/>
    <row r="41" spans="3:8" s="125" customFormat="1" x14ac:dyDescent="0.2"/>
    <row r="42" spans="3:8" s="125" customFormat="1" x14ac:dyDescent="0.2"/>
    <row r="43" spans="3:8" s="125" customFormat="1" x14ac:dyDescent="0.2"/>
    <row r="44" spans="3:8" s="125" customFormat="1" x14ac:dyDescent="0.2"/>
    <row r="45" spans="3:8" s="125" customFormat="1" x14ac:dyDescent="0.2"/>
    <row r="46" spans="3:8" s="125" customFormat="1" x14ac:dyDescent="0.2"/>
    <row r="47" spans="3:8" s="125" customFormat="1" x14ac:dyDescent="0.2"/>
    <row r="48" spans="3:8" s="125" customFormat="1" x14ac:dyDescent="0.2"/>
    <row r="49" s="125" customFormat="1" x14ac:dyDescent="0.2"/>
    <row r="50" s="125" customFormat="1" x14ac:dyDescent="0.2"/>
    <row r="51" s="125" customFormat="1" x14ac:dyDescent="0.2"/>
    <row r="52" s="125" customFormat="1" x14ac:dyDescent="0.2"/>
    <row r="53" s="125" customFormat="1" x14ac:dyDescent="0.2"/>
    <row r="54" s="125" customFormat="1" x14ac:dyDescent="0.2"/>
    <row r="55" s="125" customFormat="1" x14ac:dyDescent="0.2"/>
    <row r="56" s="125" customFormat="1" x14ac:dyDescent="0.2"/>
    <row r="57" s="125" customFormat="1" x14ac:dyDescent="0.2"/>
    <row r="58" s="125" customFormat="1" x14ac:dyDescent="0.2"/>
    <row r="59" s="125" customFormat="1" x14ac:dyDescent="0.2"/>
    <row r="60" s="125" customFormat="1" x14ac:dyDescent="0.2"/>
    <row r="61" s="125" customFormat="1" x14ac:dyDescent="0.2"/>
    <row r="62" s="125" customFormat="1" x14ac:dyDescent="0.2"/>
    <row r="63" s="125" customFormat="1" x14ac:dyDescent="0.2"/>
    <row r="64" s="125" customFormat="1" x14ac:dyDescent="0.2"/>
    <row r="65" s="125" customFormat="1" x14ac:dyDescent="0.2"/>
    <row r="66" s="125" customFormat="1" x14ac:dyDescent="0.2"/>
    <row r="67" s="125" customFormat="1" x14ac:dyDescent="0.2"/>
    <row r="68" s="125" customFormat="1" x14ac:dyDescent="0.2"/>
    <row r="69" s="125" customFormat="1" x14ac:dyDescent="0.2"/>
    <row r="70" s="125" customFormat="1" x14ac:dyDescent="0.2"/>
    <row r="71" s="125" customFormat="1" x14ac:dyDescent="0.2"/>
    <row r="72" s="125" customFormat="1" x14ac:dyDescent="0.2"/>
    <row r="73" s="125" customFormat="1" x14ac:dyDescent="0.2"/>
    <row r="74" s="125" customFormat="1" x14ac:dyDescent="0.2"/>
    <row r="75" s="125" customFormat="1" x14ac:dyDescent="0.2"/>
    <row r="76" s="125" customFormat="1" x14ac:dyDescent="0.2"/>
    <row r="77" s="125" customFormat="1" x14ac:dyDescent="0.2"/>
    <row r="78" s="125" customFormat="1" x14ac:dyDescent="0.2"/>
    <row r="79" s="125" customFormat="1" x14ac:dyDescent="0.2"/>
    <row r="80" s="125" customFormat="1" x14ac:dyDescent="0.2"/>
    <row r="81" s="125" customFormat="1" x14ac:dyDescent="0.2"/>
    <row r="82" s="125" customFormat="1" x14ac:dyDescent="0.2"/>
    <row r="83" s="125" customFormat="1" x14ac:dyDescent="0.2"/>
    <row r="84" s="125" customFormat="1" x14ac:dyDescent="0.2"/>
    <row r="85" s="125" customFormat="1" x14ac:dyDescent="0.2"/>
    <row r="86" s="125" customFormat="1" x14ac:dyDescent="0.2"/>
    <row r="87" s="125" customFormat="1" x14ac:dyDescent="0.2"/>
    <row r="88" s="125" customFormat="1" x14ac:dyDescent="0.2"/>
    <row r="89" s="125" customFormat="1" x14ac:dyDescent="0.2"/>
    <row r="90" s="125" customFormat="1" x14ac:dyDescent="0.2"/>
    <row r="91" s="125" customFormat="1" x14ac:dyDescent="0.2"/>
    <row r="92" s="125" customFormat="1" x14ac:dyDescent="0.2"/>
    <row r="93" s="125" customFormat="1" x14ac:dyDescent="0.2"/>
    <row r="94" s="125" customFormat="1" x14ac:dyDescent="0.2"/>
    <row r="95" s="125" customFormat="1" x14ac:dyDescent="0.2"/>
    <row r="96" s="125" customFormat="1" x14ac:dyDescent="0.2"/>
    <row r="97" s="125" customFormat="1" x14ac:dyDescent="0.2"/>
    <row r="98" s="125" customFormat="1" x14ac:dyDescent="0.2"/>
    <row r="99" s="125" customFormat="1" x14ac:dyDescent="0.2"/>
    <row r="100" s="125" customFormat="1" x14ac:dyDescent="0.2"/>
    <row r="101" s="125" customFormat="1" x14ac:dyDescent="0.2"/>
    <row r="102" s="125" customFormat="1" x14ac:dyDescent="0.2"/>
    <row r="103" s="125" customFormat="1" x14ac:dyDescent="0.2"/>
    <row r="104" s="125" customFormat="1" x14ac:dyDescent="0.2"/>
    <row r="105" s="125" customFormat="1" x14ac:dyDescent="0.2"/>
    <row r="106" s="125" customFormat="1" x14ac:dyDescent="0.2"/>
    <row r="107" s="125" customFormat="1" x14ac:dyDescent="0.2"/>
    <row r="108" s="125" customFormat="1" x14ac:dyDescent="0.2"/>
    <row r="109" s="125" customFormat="1" x14ac:dyDescent="0.2"/>
    <row r="110" s="125" customFormat="1" x14ac:dyDescent="0.2"/>
    <row r="111" s="125" customFormat="1" x14ac:dyDescent="0.2"/>
    <row r="112" s="125" customFormat="1" x14ac:dyDescent="0.2"/>
    <row r="113" s="125" customFormat="1" x14ac:dyDescent="0.2"/>
    <row r="114" s="125" customFormat="1" x14ac:dyDescent="0.2"/>
    <row r="115" s="125" customFormat="1" x14ac:dyDescent="0.2"/>
    <row r="116" s="125" customFormat="1" x14ac:dyDescent="0.2"/>
    <row r="117" s="125" customFormat="1" x14ac:dyDescent="0.2"/>
    <row r="118" s="125" customFormat="1" x14ac:dyDescent="0.2"/>
    <row r="119" s="125" customFormat="1" x14ac:dyDescent="0.2"/>
    <row r="120" s="125" customFormat="1" x14ac:dyDescent="0.2"/>
    <row r="121" s="125" customFormat="1" x14ac:dyDescent="0.2"/>
    <row r="122" s="125" customFormat="1" x14ac:dyDescent="0.2"/>
    <row r="123" s="125" customFormat="1" x14ac:dyDescent="0.2"/>
    <row r="124" s="125" customFormat="1" x14ac:dyDescent="0.2"/>
    <row r="125" s="125" customFormat="1" x14ac:dyDescent="0.2"/>
    <row r="126" s="125" customFormat="1" x14ac:dyDescent="0.2"/>
    <row r="127" s="125" customFormat="1" x14ac:dyDescent="0.2"/>
    <row r="128" s="125" customFormat="1" x14ac:dyDescent="0.2"/>
    <row r="129" s="125" customFormat="1" x14ac:dyDescent="0.2"/>
    <row r="130" s="125" customFormat="1" x14ac:dyDescent="0.2"/>
    <row r="131" s="125" customFormat="1" x14ac:dyDescent="0.2"/>
    <row r="132" s="125" customFormat="1" x14ac:dyDescent="0.2"/>
    <row r="133" s="125" customFormat="1" x14ac:dyDescent="0.2"/>
    <row r="134" s="125" customFormat="1" x14ac:dyDescent="0.2"/>
    <row r="135" s="125" customFormat="1" x14ac:dyDescent="0.2"/>
    <row r="136" s="125" customFormat="1" x14ac:dyDescent="0.2"/>
    <row r="137" s="125" customFormat="1" x14ac:dyDescent="0.2"/>
    <row r="138" s="125" customFormat="1" x14ac:dyDescent="0.2"/>
    <row r="139" s="125" customFormat="1" x14ac:dyDescent="0.2"/>
    <row r="140" s="125" customFormat="1" x14ac:dyDescent="0.2"/>
    <row r="141" s="125" customFormat="1" x14ac:dyDescent="0.2"/>
    <row r="142" s="125" customFormat="1" x14ac:dyDescent="0.2"/>
    <row r="143" s="125" customFormat="1" x14ac:dyDescent="0.2"/>
    <row r="144" s="125" customFormat="1" x14ac:dyDescent="0.2"/>
    <row r="145" s="125" customFormat="1" x14ac:dyDescent="0.2"/>
    <row r="146" s="125" customFormat="1" x14ac:dyDescent="0.2"/>
    <row r="147" s="125" customFormat="1" x14ac:dyDescent="0.2"/>
    <row r="148" s="125" customFormat="1" x14ac:dyDescent="0.2"/>
    <row r="149" s="125" customFormat="1" x14ac:dyDescent="0.2"/>
    <row r="150" s="125" customFormat="1" x14ac:dyDescent="0.2"/>
    <row r="151" s="125" customFormat="1" x14ac:dyDescent="0.2"/>
    <row r="152" s="125" customFormat="1" x14ac:dyDescent="0.2"/>
    <row r="153" s="125" customFormat="1" x14ac:dyDescent="0.2"/>
    <row r="154" s="125" customFormat="1" x14ac:dyDescent="0.2"/>
    <row r="155" s="125" customFormat="1" x14ac:dyDescent="0.2"/>
    <row r="156" s="125" customFormat="1" x14ac:dyDescent="0.2"/>
    <row r="157" s="125" customFormat="1" x14ac:dyDescent="0.2"/>
    <row r="158" s="125" customFormat="1" x14ac:dyDescent="0.2"/>
    <row r="159" s="125" customFormat="1" x14ac:dyDescent="0.2"/>
    <row r="160" s="125" customFormat="1" x14ac:dyDescent="0.2"/>
    <row r="161" s="125" customFormat="1" x14ac:dyDescent="0.2"/>
    <row r="162" s="125" customFormat="1" x14ac:dyDescent="0.2"/>
    <row r="163" s="125" customFormat="1" x14ac:dyDescent="0.2"/>
    <row r="164" s="125" customFormat="1" x14ac:dyDescent="0.2"/>
    <row r="165" s="125" customFormat="1" x14ac:dyDescent="0.2"/>
    <row r="166" s="125" customFormat="1" x14ac:dyDescent="0.2"/>
    <row r="167" s="125" customFormat="1" x14ac:dyDescent="0.2"/>
    <row r="168" s="125" customFormat="1" x14ac:dyDescent="0.2"/>
    <row r="169" s="125" customFormat="1" x14ac:dyDescent="0.2"/>
    <row r="170" s="125" customFormat="1" x14ac:dyDescent="0.2"/>
    <row r="171" s="125" customFormat="1" x14ac:dyDescent="0.2"/>
    <row r="172" s="125" customFormat="1" x14ac:dyDescent="0.2"/>
    <row r="173" s="125" customFormat="1" x14ac:dyDescent="0.2"/>
    <row r="174" s="125" customFormat="1" x14ac:dyDescent="0.2"/>
    <row r="175" s="125" customFormat="1" x14ac:dyDescent="0.2"/>
    <row r="176" s="125" customFormat="1" x14ac:dyDescent="0.2"/>
    <row r="177" s="125" customFormat="1" x14ac:dyDescent="0.2"/>
    <row r="178" s="125" customFormat="1" x14ac:dyDescent="0.2"/>
    <row r="179" s="125" customFormat="1" x14ac:dyDescent="0.2"/>
    <row r="180" s="125" customFormat="1" x14ac:dyDescent="0.2"/>
    <row r="181" s="125" customFormat="1" x14ac:dyDescent="0.2"/>
    <row r="182" s="125" customFormat="1" x14ac:dyDescent="0.2"/>
    <row r="183" s="125" customFormat="1" x14ac:dyDescent="0.2"/>
    <row r="184" s="125" customFormat="1" x14ac:dyDescent="0.2"/>
    <row r="185" s="125" customFormat="1" x14ac:dyDescent="0.2"/>
    <row r="186" s="125" customFormat="1" x14ac:dyDescent="0.2"/>
    <row r="187" s="125" customFormat="1" x14ac:dyDescent="0.2"/>
    <row r="188" s="125" customFormat="1" x14ac:dyDescent="0.2"/>
    <row r="189" s="125" customFormat="1" x14ac:dyDescent="0.2"/>
    <row r="190" s="125" customFormat="1" x14ac:dyDescent="0.2"/>
    <row r="191" s="125" customFormat="1" x14ac:dyDescent="0.2"/>
    <row r="192" s="125" customFormat="1" x14ac:dyDescent="0.2"/>
    <row r="193" s="125" customFormat="1" x14ac:dyDescent="0.2"/>
    <row r="194" s="125" customFormat="1" x14ac:dyDescent="0.2"/>
    <row r="195" s="125" customFormat="1" x14ac:dyDescent="0.2"/>
    <row r="196" s="125" customFormat="1" x14ac:dyDescent="0.2"/>
    <row r="197" s="125" customFormat="1" x14ac:dyDescent="0.2"/>
    <row r="198" s="125" customFormat="1" x14ac:dyDescent="0.2"/>
    <row r="199" s="125" customFormat="1" x14ac:dyDescent="0.2"/>
    <row r="200" s="125" customFormat="1" x14ac:dyDescent="0.2"/>
    <row r="201" s="125" customFormat="1" x14ac:dyDescent="0.2"/>
    <row r="202" s="125" customFormat="1" x14ac:dyDescent="0.2"/>
    <row r="203" s="125" customFormat="1" x14ac:dyDescent="0.2"/>
    <row r="204" s="125" customFormat="1" x14ac:dyDescent="0.2"/>
    <row r="205" s="125" customFormat="1" x14ac:dyDescent="0.2"/>
    <row r="206" s="125" customFormat="1" x14ac:dyDescent="0.2"/>
    <row r="207" s="125" customFormat="1" x14ac:dyDescent="0.2"/>
    <row r="208" s="125" customFormat="1" x14ac:dyDescent="0.2"/>
    <row r="209" s="125" customFormat="1" x14ac:dyDescent="0.2"/>
    <row r="210" s="125" customFormat="1" x14ac:dyDescent="0.2"/>
    <row r="211" s="125" customFormat="1" x14ac:dyDescent="0.2"/>
    <row r="212" s="125" customFormat="1" x14ac:dyDescent="0.2"/>
    <row r="213" s="125" customFormat="1" x14ac:dyDescent="0.2"/>
    <row r="214" s="125" customFormat="1" x14ac:dyDescent="0.2"/>
    <row r="215" s="125" customFormat="1" x14ac:dyDescent="0.2"/>
    <row r="216" s="125" customFormat="1" x14ac:dyDescent="0.2"/>
    <row r="217" s="125" customFormat="1" x14ac:dyDescent="0.2"/>
    <row r="218" s="125" customFormat="1" x14ac:dyDescent="0.2"/>
    <row r="219" s="125" customFormat="1" x14ac:dyDescent="0.2"/>
    <row r="220" s="125" customFormat="1" x14ac:dyDescent="0.2"/>
    <row r="221" s="125" customFormat="1" x14ac:dyDescent="0.2"/>
    <row r="222" s="125" customFormat="1" x14ac:dyDescent="0.2"/>
    <row r="223" s="125" customFormat="1" x14ac:dyDescent="0.2"/>
    <row r="224" s="125" customFormat="1" x14ac:dyDescent="0.2"/>
    <row r="225" s="125" customFormat="1" x14ac:dyDescent="0.2"/>
    <row r="226" s="125" customFormat="1" x14ac:dyDescent="0.2"/>
    <row r="227" s="125" customFormat="1" x14ac:dyDescent="0.2"/>
    <row r="228" s="125" customFormat="1" x14ac:dyDescent="0.2"/>
    <row r="229" s="125" customFormat="1" x14ac:dyDescent="0.2"/>
    <row r="230" s="125" customFormat="1" x14ac:dyDescent="0.2"/>
    <row r="231" s="125" customFormat="1" x14ac:dyDescent="0.2"/>
    <row r="232" s="125" customFormat="1" x14ac:dyDescent="0.2"/>
    <row r="233" s="125" customFormat="1" x14ac:dyDescent="0.2"/>
    <row r="234" s="125" customFormat="1" x14ac:dyDescent="0.2"/>
    <row r="235" s="125" customFormat="1" x14ac:dyDescent="0.2"/>
    <row r="236" s="125" customFormat="1" x14ac:dyDescent="0.2"/>
    <row r="237" s="125" customFormat="1" x14ac:dyDescent="0.2"/>
    <row r="238" s="125" customFormat="1" x14ac:dyDescent="0.2"/>
    <row r="239" s="125" customFormat="1" x14ac:dyDescent="0.2"/>
    <row r="240" s="125" customFormat="1" x14ac:dyDescent="0.2"/>
    <row r="241" s="125" customFormat="1" x14ac:dyDescent="0.2"/>
    <row r="242" s="125" customFormat="1" x14ac:dyDescent="0.2"/>
    <row r="243" s="125" customFormat="1" x14ac:dyDescent="0.2"/>
    <row r="244" s="125" customFormat="1" x14ac:dyDescent="0.2"/>
    <row r="245" s="125" customFormat="1" x14ac:dyDescent="0.2"/>
    <row r="246" s="125" customFormat="1" x14ac:dyDescent="0.2"/>
    <row r="247" s="125" customFormat="1" x14ac:dyDescent="0.2"/>
    <row r="248" s="125" customFormat="1" x14ac:dyDescent="0.2"/>
    <row r="249" s="125" customFormat="1" x14ac:dyDescent="0.2"/>
    <row r="250" s="125" customFormat="1" x14ac:dyDescent="0.2"/>
    <row r="251" s="125" customFormat="1" x14ac:dyDescent="0.2"/>
    <row r="252" s="125" customFormat="1" x14ac:dyDescent="0.2"/>
    <row r="253" s="125" customFormat="1" x14ac:dyDescent="0.2"/>
    <row r="254" s="125" customFormat="1" x14ac:dyDescent="0.2"/>
    <row r="255" s="125" customFormat="1" x14ac:dyDescent="0.2"/>
    <row r="256" s="125" customFormat="1" x14ac:dyDescent="0.2"/>
    <row r="257" s="125" customFormat="1" x14ac:dyDescent="0.2"/>
    <row r="258" s="125" customFormat="1" x14ac:dyDescent="0.2"/>
    <row r="259" s="125" customFormat="1" x14ac:dyDescent="0.2"/>
    <row r="260" s="125" customFormat="1" x14ac:dyDescent="0.2"/>
    <row r="261" s="125" customFormat="1" x14ac:dyDescent="0.2"/>
    <row r="262" s="125" customFormat="1" x14ac:dyDescent="0.2"/>
    <row r="263" s="125" customFormat="1" x14ac:dyDescent="0.2"/>
    <row r="264" s="125" customFormat="1" x14ac:dyDescent="0.2"/>
    <row r="265" s="125" customFormat="1" x14ac:dyDescent="0.2"/>
    <row r="266" s="125" customFormat="1" x14ac:dyDescent="0.2"/>
    <row r="267" s="125" customFormat="1" x14ac:dyDescent="0.2"/>
    <row r="268" s="125" customFormat="1" x14ac:dyDescent="0.2"/>
    <row r="269" s="125" customFormat="1" x14ac:dyDescent="0.2"/>
    <row r="270" s="125" customFormat="1" x14ac:dyDescent="0.2"/>
    <row r="271" s="125" customFormat="1" x14ac:dyDescent="0.2"/>
    <row r="272" s="125" customFormat="1" x14ac:dyDescent="0.2"/>
    <row r="273" s="125" customFormat="1" x14ac:dyDescent="0.2"/>
    <row r="274" s="125" customFormat="1" x14ac:dyDescent="0.2"/>
    <row r="275" s="125" customFormat="1" x14ac:dyDescent="0.2"/>
    <row r="276" s="125" customFormat="1" x14ac:dyDescent="0.2"/>
    <row r="277" s="125" customFormat="1" x14ac:dyDescent="0.2"/>
    <row r="278" s="125" customFormat="1" x14ac:dyDescent="0.2"/>
    <row r="279" s="125" customFormat="1" x14ac:dyDescent="0.2"/>
    <row r="280" s="125" customFormat="1" x14ac:dyDescent="0.2"/>
    <row r="281" s="125" customFormat="1" x14ac:dyDescent="0.2"/>
    <row r="282" s="125" customFormat="1" x14ac:dyDescent="0.2"/>
    <row r="283" s="125" customFormat="1" x14ac:dyDescent="0.2"/>
    <row r="284" s="125" customFormat="1" x14ac:dyDescent="0.2"/>
    <row r="285" s="125" customFormat="1" x14ac:dyDescent="0.2"/>
    <row r="286" s="125" customFormat="1" x14ac:dyDescent="0.2"/>
    <row r="287" s="125" customFormat="1" x14ac:dyDescent="0.2"/>
    <row r="288" s="125" customFormat="1" x14ac:dyDescent="0.2"/>
    <row r="289" s="125" customFormat="1" x14ac:dyDescent="0.2"/>
    <row r="290" s="125" customFormat="1" x14ac:dyDescent="0.2"/>
    <row r="291" s="125" customFormat="1" x14ac:dyDescent="0.2"/>
    <row r="292" s="125" customFormat="1" x14ac:dyDescent="0.2"/>
    <row r="293" s="125" customFormat="1" x14ac:dyDescent="0.2"/>
    <row r="294" s="125" customFormat="1" x14ac:dyDescent="0.2"/>
    <row r="295" s="125" customFormat="1" x14ac:dyDescent="0.2"/>
    <row r="296" s="125" customFormat="1" x14ac:dyDescent="0.2"/>
    <row r="297" s="125" customFormat="1" x14ac:dyDescent="0.2"/>
    <row r="298" s="125" customFormat="1" x14ac:dyDescent="0.2"/>
    <row r="299" s="125" customFormat="1" x14ac:dyDescent="0.2"/>
    <row r="300" s="125" customFormat="1" x14ac:dyDescent="0.2"/>
    <row r="301" s="125" customFormat="1" x14ac:dyDescent="0.2"/>
    <row r="302" s="125" customFormat="1" x14ac:dyDescent="0.2"/>
    <row r="303" s="125" customFormat="1" x14ac:dyDescent="0.2"/>
    <row r="304" s="125" customFormat="1" x14ac:dyDescent="0.2"/>
    <row r="305" s="125" customFormat="1" x14ac:dyDescent="0.2"/>
    <row r="306" s="125" customFormat="1" x14ac:dyDescent="0.2"/>
    <row r="307" s="125" customFormat="1" x14ac:dyDescent="0.2"/>
    <row r="308" s="125" customFormat="1" x14ac:dyDescent="0.2"/>
    <row r="309" s="125" customFormat="1" x14ac:dyDescent="0.2"/>
    <row r="310" s="125" customFormat="1" x14ac:dyDescent="0.2"/>
    <row r="311" s="125" customFormat="1" x14ac:dyDescent="0.2"/>
    <row r="312" s="125" customFormat="1" x14ac:dyDescent="0.2"/>
    <row r="313" s="125" customFormat="1" x14ac:dyDescent="0.2"/>
    <row r="314" s="125" customFormat="1" x14ac:dyDescent="0.2"/>
    <row r="315" s="125" customFormat="1" x14ac:dyDescent="0.2"/>
    <row r="316" s="125" customFormat="1" x14ac:dyDescent="0.2"/>
    <row r="317" s="125" customFormat="1" x14ac:dyDescent="0.2"/>
    <row r="318" s="125" customFormat="1" x14ac:dyDescent="0.2"/>
    <row r="319" s="125" customFormat="1" x14ac:dyDescent="0.2"/>
    <row r="320" s="125" customFormat="1" x14ac:dyDescent="0.2"/>
    <row r="321" s="125" customFormat="1" x14ac:dyDescent="0.2"/>
    <row r="322" s="125" customFormat="1" x14ac:dyDescent="0.2"/>
    <row r="323" s="125" customFormat="1" x14ac:dyDescent="0.2"/>
    <row r="324" s="125" customFormat="1" x14ac:dyDescent="0.2"/>
    <row r="325" s="125" customFormat="1" x14ac:dyDescent="0.2"/>
    <row r="326" s="125" customFormat="1" x14ac:dyDescent="0.2"/>
    <row r="327" s="125" customFormat="1" x14ac:dyDescent="0.2"/>
    <row r="328" s="125" customFormat="1" x14ac:dyDescent="0.2"/>
    <row r="329" s="125" customFormat="1" x14ac:dyDescent="0.2"/>
    <row r="330" s="125" customFormat="1" x14ac:dyDescent="0.2"/>
    <row r="331" s="125" customFormat="1" x14ac:dyDescent="0.2"/>
    <row r="332" s="125" customFormat="1" x14ac:dyDescent="0.2"/>
    <row r="333" s="125" customFormat="1" x14ac:dyDescent="0.2"/>
    <row r="334" s="125" customFormat="1" x14ac:dyDescent="0.2"/>
    <row r="335" s="125" customFormat="1" x14ac:dyDescent="0.2"/>
    <row r="336" s="125" customFormat="1" x14ac:dyDescent="0.2"/>
    <row r="337" s="125" customFormat="1" x14ac:dyDescent="0.2"/>
    <row r="338" s="125" customFormat="1" x14ac:dyDescent="0.2"/>
    <row r="339" s="125" customFormat="1" x14ac:dyDescent="0.2"/>
    <row r="340" s="125" customFormat="1" x14ac:dyDescent="0.2"/>
    <row r="341" s="125" customFormat="1" x14ac:dyDescent="0.2"/>
    <row r="342" s="125" customFormat="1" x14ac:dyDescent="0.2"/>
    <row r="343" s="125" customFormat="1" x14ac:dyDescent="0.2"/>
    <row r="344" s="125" customFormat="1" x14ac:dyDescent="0.2"/>
    <row r="345" s="125" customFormat="1" x14ac:dyDescent="0.2"/>
    <row r="346" s="125" customFormat="1" x14ac:dyDescent="0.2"/>
    <row r="347" s="125" customFormat="1" x14ac:dyDescent="0.2"/>
    <row r="348" s="125" customFormat="1" x14ac:dyDescent="0.2"/>
    <row r="349" s="125" customFormat="1" x14ac:dyDescent="0.2"/>
    <row r="350" s="125" customFormat="1" x14ac:dyDescent="0.2"/>
    <row r="351" s="125" customFormat="1" x14ac:dyDescent="0.2"/>
    <row r="352" s="125" customFormat="1" x14ac:dyDescent="0.2"/>
    <row r="353" s="125" customFormat="1" x14ac:dyDescent="0.2"/>
    <row r="354" s="125" customFormat="1" x14ac:dyDescent="0.2"/>
    <row r="355" s="125" customFormat="1" x14ac:dyDescent="0.2"/>
    <row r="356" s="125" customFormat="1" x14ac:dyDescent="0.2"/>
    <row r="357" s="125" customFormat="1" x14ac:dyDescent="0.2"/>
    <row r="358" s="125" customFormat="1" x14ac:dyDescent="0.2"/>
    <row r="359" s="125" customFormat="1" x14ac:dyDescent="0.2"/>
    <row r="360" s="125" customFormat="1" x14ac:dyDescent="0.2"/>
    <row r="361" s="125" customFormat="1" x14ac:dyDescent="0.2"/>
    <row r="362" s="125" customFormat="1" x14ac:dyDescent="0.2"/>
    <row r="363" s="125" customFormat="1" x14ac:dyDescent="0.2"/>
    <row r="364" s="125" customFormat="1" x14ac:dyDescent="0.2"/>
    <row r="365" s="125" customFormat="1" x14ac:dyDescent="0.2"/>
    <row r="366" s="125" customFormat="1" x14ac:dyDescent="0.2"/>
    <row r="367" s="125" customFormat="1" x14ac:dyDescent="0.2"/>
    <row r="368" s="125" customFormat="1" x14ac:dyDescent="0.2"/>
    <row r="369" s="125" customFormat="1" x14ac:dyDescent="0.2"/>
    <row r="370" s="125" customFormat="1" x14ac:dyDescent="0.2"/>
    <row r="371" s="125" customFormat="1" x14ac:dyDescent="0.2"/>
    <row r="372" s="125" customFormat="1" x14ac:dyDescent="0.2"/>
    <row r="373" s="125" customFormat="1" x14ac:dyDescent="0.2"/>
    <row r="374" s="125" customFormat="1" x14ac:dyDescent="0.2"/>
    <row r="375" s="125" customFormat="1" x14ac:dyDescent="0.2"/>
    <row r="376" s="125" customFormat="1" x14ac:dyDescent="0.2"/>
    <row r="377" s="125" customFormat="1" x14ac:dyDescent="0.2"/>
    <row r="378" s="125" customFormat="1" x14ac:dyDescent="0.2"/>
    <row r="379" s="125" customFormat="1" x14ac:dyDescent="0.2"/>
    <row r="380" s="125" customFormat="1" x14ac:dyDescent="0.2"/>
    <row r="381" s="125" customFormat="1" x14ac:dyDescent="0.2"/>
    <row r="382" s="125" customFormat="1" x14ac:dyDescent="0.2"/>
    <row r="383" s="125" customFormat="1" x14ac:dyDescent="0.2"/>
    <row r="384" s="125" customFormat="1" x14ac:dyDescent="0.2"/>
    <row r="385" s="125" customFormat="1" x14ac:dyDescent="0.2"/>
    <row r="386" s="125" customFormat="1" x14ac:dyDescent="0.2"/>
    <row r="387" s="125" customFormat="1" x14ac:dyDescent="0.2"/>
    <row r="388" s="125" customFormat="1" x14ac:dyDescent="0.2"/>
    <row r="389" s="125" customFormat="1" x14ac:dyDescent="0.2"/>
    <row r="390" s="125" customFormat="1" x14ac:dyDescent="0.2"/>
    <row r="391" s="125" customFormat="1" x14ac:dyDescent="0.2"/>
    <row r="392" s="125" customFormat="1" x14ac:dyDescent="0.2"/>
    <row r="393" s="125" customFormat="1" x14ac:dyDescent="0.2"/>
    <row r="394" s="125" customFormat="1" x14ac:dyDescent="0.2"/>
    <row r="395" s="125" customFormat="1" x14ac:dyDescent="0.2"/>
    <row r="396" s="125" customFormat="1" x14ac:dyDescent="0.2"/>
    <row r="397" s="125" customFormat="1" x14ac:dyDescent="0.2"/>
    <row r="398" s="125" customFormat="1" x14ac:dyDescent="0.2"/>
    <row r="399" s="125" customFormat="1" x14ac:dyDescent="0.2"/>
    <row r="400" s="125" customFormat="1" x14ac:dyDescent="0.2"/>
    <row r="401" s="125" customFormat="1" x14ac:dyDescent="0.2"/>
    <row r="402" s="125" customFormat="1" x14ac:dyDescent="0.2"/>
    <row r="403" s="125" customFormat="1" x14ac:dyDescent="0.2"/>
    <row r="404" s="125" customFormat="1" x14ac:dyDescent="0.2"/>
    <row r="405" s="125" customFormat="1" x14ac:dyDescent="0.2"/>
    <row r="406" s="125" customFormat="1" x14ac:dyDescent="0.2"/>
    <row r="407" s="125" customFormat="1" x14ac:dyDescent="0.2"/>
    <row r="408" s="125" customFormat="1" x14ac:dyDescent="0.2"/>
    <row r="409" s="125" customFormat="1" x14ac:dyDescent="0.2"/>
    <row r="410" s="125" customFormat="1" x14ac:dyDescent="0.2"/>
    <row r="411" s="125" customFormat="1" x14ac:dyDescent="0.2"/>
    <row r="412" s="125" customFormat="1" x14ac:dyDescent="0.2"/>
    <row r="413" s="125" customFormat="1" x14ac:dyDescent="0.2"/>
    <row r="414" s="125" customFormat="1" x14ac:dyDescent="0.2"/>
    <row r="415" s="125" customFormat="1" x14ac:dyDescent="0.2"/>
    <row r="416" s="125" customFormat="1" x14ac:dyDescent="0.2"/>
    <row r="417" s="125" customFormat="1" x14ac:dyDescent="0.2"/>
    <row r="418" s="125" customFormat="1" x14ac:dyDescent="0.2"/>
    <row r="419" s="125" customFormat="1" x14ac:dyDescent="0.2"/>
    <row r="420" s="125" customFormat="1" x14ac:dyDescent="0.2"/>
    <row r="421" s="125" customFormat="1" x14ac:dyDescent="0.2"/>
    <row r="422" s="125" customFormat="1" x14ac:dyDescent="0.2"/>
    <row r="423" s="125" customFormat="1" x14ac:dyDescent="0.2"/>
    <row r="424" s="125" customFormat="1" x14ac:dyDescent="0.2"/>
    <row r="425" s="125" customFormat="1" x14ac:dyDescent="0.2"/>
    <row r="426" s="125" customFormat="1" x14ac:dyDescent="0.2"/>
  </sheetData>
  <sheetProtection algorithmName="SHA-512" hashValue="yqSP4QoaMtrvwf5pP7VhOKQodzeEUl4X/hj2XjgCujDiiEPtKFvt1xMy0IR4iq9e5PX06s0RXL9WWl8ZZeQYLg==" saltValue="jmBSvSZ5kpJDqj+ADGBtFw==" spinCount="100000" sheet="1" objects="1" scenarios="1"/>
  <mergeCells count="9">
    <mergeCell ref="C36:H36"/>
    <mergeCell ref="C37:H37"/>
    <mergeCell ref="C3:H3"/>
    <mergeCell ref="C5:H5"/>
    <mergeCell ref="G8:G9"/>
    <mergeCell ref="H8:H9"/>
    <mergeCell ref="C8:C9"/>
    <mergeCell ref="G7:H7"/>
    <mergeCell ref="D7:E7"/>
  </mergeCells>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BD130"/>
  <sheetViews>
    <sheetView zoomScaleNormal="100" zoomScaleSheetLayoutView="100" workbookViewId="0">
      <selection activeCell="D16" sqref="D16"/>
    </sheetView>
  </sheetViews>
  <sheetFormatPr defaultRowHeight="15" x14ac:dyDescent="0.2"/>
  <cols>
    <col min="1" max="1" width="9.140625" style="142"/>
    <col min="2" max="2" width="3.140625" style="143" customWidth="1"/>
    <col min="3" max="3" width="4.140625" style="143" bestFit="1" customWidth="1"/>
    <col min="4" max="4" width="194.42578125" style="143" customWidth="1"/>
    <col min="5" max="5" width="3" style="143" customWidth="1"/>
    <col min="6" max="56" width="9.140625" style="142"/>
    <col min="57" max="16384" width="9.140625" style="143"/>
  </cols>
  <sheetData>
    <row r="1" spans="3:4" s="142" customFormat="1" ht="32.25" customHeight="1" x14ac:dyDescent="0.2"/>
    <row r="2" spans="3:4" ht="10.5" customHeight="1" x14ac:dyDescent="0.2"/>
    <row r="3" spans="3:4" ht="21" x14ac:dyDescent="0.2">
      <c r="C3" s="192" t="s">
        <v>567</v>
      </c>
      <c r="D3" s="192"/>
    </row>
    <row r="4" spans="3:4" ht="12" customHeight="1" x14ac:dyDescent="0.2">
      <c r="D4" s="146"/>
    </row>
    <row r="5" spans="3:4" ht="34.5" customHeight="1" x14ac:dyDescent="0.2">
      <c r="D5" s="52" t="s">
        <v>491</v>
      </c>
    </row>
    <row r="6" spans="3:4" ht="7.5" customHeight="1" x14ac:dyDescent="0.2"/>
    <row r="7" spans="3:4" ht="23.25" customHeight="1" x14ac:dyDescent="0.2">
      <c r="C7" s="144" t="s">
        <v>522</v>
      </c>
      <c r="D7" s="145" t="s">
        <v>460</v>
      </c>
    </row>
    <row r="8" spans="3:4" ht="30" x14ac:dyDescent="0.2">
      <c r="C8" s="144"/>
      <c r="D8" s="143" t="s">
        <v>521</v>
      </c>
    </row>
    <row r="9" spans="3:4" ht="30" x14ac:dyDescent="0.2">
      <c r="C9" s="144"/>
      <c r="D9" s="143" t="s">
        <v>515</v>
      </c>
    </row>
    <row r="11" spans="3:4" ht="22.5" customHeight="1" x14ac:dyDescent="0.2">
      <c r="C11" s="145" t="s">
        <v>523</v>
      </c>
      <c r="D11" s="145" t="s">
        <v>471</v>
      </c>
    </row>
    <row r="12" spans="3:4" ht="30.75" customHeight="1" x14ac:dyDescent="0.2">
      <c r="D12" s="143" t="s">
        <v>516</v>
      </c>
    </row>
    <row r="13" spans="3:4" ht="11.25" customHeight="1" x14ac:dyDescent="0.2"/>
    <row r="14" spans="3:4" ht="24" customHeight="1" x14ac:dyDescent="0.2">
      <c r="C14" s="144" t="s">
        <v>524</v>
      </c>
      <c r="D14" s="145" t="s">
        <v>503</v>
      </c>
    </row>
    <row r="15" spans="3:4" ht="31.5" customHeight="1" x14ac:dyDescent="0.2">
      <c r="D15" s="143" t="s">
        <v>517</v>
      </c>
    </row>
    <row r="16" spans="3:4" ht="64.5" customHeight="1" x14ac:dyDescent="0.2">
      <c r="D16" s="143" t="s">
        <v>518</v>
      </c>
    </row>
    <row r="17" spans="3:4" ht="15" customHeight="1" x14ac:dyDescent="0.2">
      <c r="D17" s="143" t="s">
        <v>505</v>
      </c>
    </row>
    <row r="18" spans="3:4" ht="32.25" customHeight="1" x14ac:dyDescent="0.2">
      <c r="D18" s="143" t="s">
        <v>519</v>
      </c>
    </row>
    <row r="20" spans="3:4" ht="23.25" customHeight="1" x14ac:dyDescent="0.2">
      <c r="C20" s="144" t="s">
        <v>525</v>
      </c>
      <c r="D20" s="145" t="s">
        <v>466</v>
      </c>
    </row>
    <row r="21" spans="3:4" ht="63" customHeight="1" x14ac:dyDescent="0.2">
      <c r="D21" s="161" t="s">
        <v>555</v>
      </c>
    </row>
    <row r="22" spans="3:4" ht="29.25" customHeight="1" x14ac:dyDescent="0.2">
      <c r="D22" s="143" t="s">
        <v>507</v>
      </c>
    </row>
    <row r="23" spans="3:4" ht="18.75" customHeight="1" x14ac:dyDescent="0.2">
      <c r="D23" s="143" t="s">
        <v>508</v>
      </c>
    </row>
    <row r="24" spans="3:4" ht="31.5" customHeight="1" x14ac:dyDescent="0.2">
      <c r="D24" s="143" t="s">
        <v>556</v>
      </c>
    </row>
    <row r="26" spans="3:4" ht="26.25" customHeight="1" x14ac:dyDescent="0.2">
      <c r="C26" s="144" t="s">
        <v>526</v>
      </c>
      <c r="D26" s="145" t="s">
        <v>467</v>
      </c>
    </row>
    <row r="27" spans="3:4" ht="30" customHeight="1" x14ac:dyDescent="0.2">
      <c r="D27" s="143" t="s">
        <v>509</v>
      </c>
    </row>
    <row r="28" spans="3:4" x14ac:dyDescent="0.2">
      <c r="D28" s="143" t="s">
        <v>510</v>
      </c>
    </row>
    <row r="30" spans="3:4" ht="25.5" customHeight="1" x14ac:dyDescent="0.2">
      <c r="C30" s="144" t="s">
        <v>527</v>
      </c>
      <c r="D30" s="145" t="s">
        <v>468</v>
      </c>
    </row>
    <row r="31" spans="3:4" ht="33.75" customHeight="1" x14ac:dyDescent="0.2">
      <c r="C31" s="147"/>
      <c r="D31" s="143" t="s">
        <v>512</v>
      </c>
    </row>
    <row r="32" spans="3:4" ht="30.75" customHeight="1" x14ac:dyDescent="0.2">
      <c r="C32" s="147"/>
      <c r="D32" s="143" t="s">
        <v>513</v>
      </c>
    </row>
    <row r="33" spans="4:9" ht="30" x14ac:dyDescent="0.2">
      <c r="D33" s="143" t="s">
        <v>514</v>
      </c>
    </row>
    <row r="34" spans="4:9" ht="13.5" customHeight="1" x14ac:dyDescent="0.25">
      <c r="D34" s="181" t="s">
        <v>568</v>
      </c>
      <c r="E34" s="148"/>
      <c r="F34" s="149"/>
      <c r="G34" s="149"/>
      <c r="H34" s="149"/>
      <c r="I34" s="149"/>
    </row>
    <row r="35" spans="4:9" x14ac:dyDescent="0.2">
      <c r="D35" s="182" t="s">
        <v>557</v>
      </c>
      <c r="E35" s="150"/>
      <c r="F35" s="151"/>
      <c r="G35" s="151"/>
      <c r="H35" s="151"/>
      <c r="I35" s="151"/>
    </row>
    <row r="37" spans="4:9" s="142" customFormat="1" ht="13.5" customHeight="1" x14ac:dyDescent="0.2"/>
    <row r="38" spans="4:9" s="142" customFormat="1" ht="13.5" customHeight="1" x14ac:dyDescent="0.2"/>
    <row r="39" spans="4:9" s="142" customFormat="1" ht="13.5" customHeight="1" x14ac:dyDescent="0.2"/>
    <row r="40" spans="4:9" s="142" customFormat="1" ht="13.5" customHeight="1" x14ac:dyDescent="0.2"/>
    <row r="41" spans="4:9" s="142" customFormat="1" ht="13.5" customHeight="1" x14ac:dyDescent="0.2"/>
    <row r="42" spans="4:9" s="142" customFormat="1" ht="13.5" customHeight="1" x14ac:dyDescent="0.2"/>
    <row r="43" spans="4:9" s="142" customFormat="1" ht="13.5" customHeight="1" x14ac:dyDescent="0.2"/>
    <row r="44" spans="4:9" s="142" customFormat="1" ht="13.5" customHeight="1" x14ac:dyDescent="0.2"/>
    <row r="45" spans="4:9" s="142" customFormat="1" ht="13.5" customHeight="1" x14ac:dyDescent="0.2"/>
    <row r="46" spans="4:9" s="142" customFormat="1" ht="13.5" customHeight="1" x14ac:dyDescent="0.2"/>
    <row r="47" spans="4:9" s="142" customFormat="1" ht="13.5" customHeight="1" x14ac:dyDescent="0.2"/>
    <row r="48" spans="4:9" s="142" customFormat="1" ht="13.5" customHeight="1" x14ac:dyDescent="0.2"/>
    <row r="49" s="142" customFormat="1" ht="13.5" customHeight="1" x14ac:dyDescent="0.2"/>
    <row r="50" s="142" customFormat="1" ht="13.5" customHeight="1" x14ac:dyDescent="0.2"/>
    <row r="51" s="142" customFormat="1" ht="13.5" customHeight="1" x14ac:dyDescent="0.2"/>
    <row r="52" s="142" customFormat="1" ht="13.5" customHeight="1" x14ac:dyDescent="0.2"/>
    <row r="53" s="142" customFormat="1" ht="13.5" customHeight="1" x14ac:dyDescent="0.2"/>
    <row r="54" s="142" customFormat="1" ht="13.5" customHeight="1" x14ac:dyDescent="0.2"/>
    <row r="55" s="142" customFormat="1" ht="13.5" customHeight="1" x14ac:dyDescent="0.2"/>
    <row r="56" s="142" customFormat="1" ht="13.5" customHeight="1" x14ac:dyDescent="0.2"/>
    <row r="57" s="142" customFormat="1" ht="13.5" customHeight="1" x14ac:dyDescent="0.2"/>
    <row r="58" s="142" customFormat="1" ht="13.5" customHeight="1" x14ac:dyDescent="0.2"/>
    <row r="59" s="142" customFormat="1" ht="13.5" customHeight="1" x14ac:dyDescent="0.2"/>
    <row r="60" s="142" customFormat="1" ht="13.5" customHeight="1" x14ac:dyDescent="0.2"/>
    <row r="61" s="142" customFormat="1" ht="13.5" customHeight="1" x14ac:dyDescent="0.2"/>
    <row r="62" s="142" customFormat="1" ht="13.5" customHeight="1" x14ac:dyDescent="0.2"/>
    <row r="63" s="142" customFormat="1" ht="13.5" customHeight="1" x14ac:dyDescent="0.2"/>
    <row r="64" s="142" customFormat="1" ht="13.5" customHeight="1" x14ac:dyDescent="0.2"/>
    <row r="65" s="142" customFormat="1" ht="13.5" customHeight="1" x14ac:dyDescent="0.2"/>
    <row r="66" s="142" customFormat="1" ht="13.5" customHeight="1" x14ac:dyDescent="0.2"/>
    <row r="67" s="142" customFormat="1" ht="13.5" customHeight="1" x14ac:dyDescent="0.2"/>
    <row r="68" s="142" customFormat="1" ht="13.5" customHeight="1" x14ac:dyDescent="0.2"/>
    <row r="69" s="142" customFormat="1" ht="13.5" customHeight="1" x14ac:dyDescent="0.2"/>
    <row r="70" s="142" customFormat="1" ht="13.5" customHeight="1" x14ac:dyDescent="0.2"/>
    <row r="71" s="142" customFormat="1" ht="13.5" customHeight="1" x14ac:dyDescent="0.2"/>
    <row r="72" s="142" customFormat="1" ht="13.5" customHeight="1" x14ac:dyDescent="0.2"/>
    <row r="73" s="142" customFormat="1" ht="13.5" customHeight="1" x14ac:dyDescent="0.2"/>
    <row r="74" s="142" customFormat="1" ht="13.5" customHeight="1" x14ac:dyDescent="0.2"/>
    <row r="75" s="142" customFormat="1" ht="13.5" customHeight="1" x14ac:dyDescent="0.2"/>
    <row r="76" s="142" customFormat="1" ht="13.5" customHeight="1" x14ac:dyDescent="0.2"/>
    <row r="77" s="142" customFormat="1" ht="13.5" customHeight="1" x14ac:dyDescent="0.2"/>
    <row r="78" s="142" customFormat="1" ht="13.5" customHeight="1" x14ac:dyDescent="0.2"/>
    <row r="79" s="142" customFormat="1" ht="13.5" customHeight="1" x14ac:dyDescent="0.2"/>
    <row r="80" s="142" customFormat="1" ht="13.5" customHeight="1" x14ac:dyDescent="0.2"/>
    <row r="81" s="142" customFormat="1" ht="13.5" customHeight="1" x14ac:dyDescent="0.2"/>
    <row r="82" s="142" customFormat="1" ht="13.5" customHeight="1" x14ac:dyDescent="0.2"/>
    <row r="83" s="142" customFormat="1" ht="13.5" customHeight="1" x14ac:dyDescent="0.2"/>
    <row r="84" s="142" customFormat="1" ht="13.5" customHeight="1" x14ac:dyDescent="0.2"/>
    <row r="85" s="142" customFormat="1" ht="13.5" customHeight="1" x14ac:dyDescent="0.2"/>
    <row r="86" s="142" customFormat="1" ht="13.5" customHeight="1" x14ac:dyDescent="0.2"/>
    <row r="87" s="142" customFormat="1" ht="13.5" customHeight="1" x14ac:dyDescent="0.2"/>
    <row r="88" s="142" customFormat="1" ht="13.5" customHeight="1" x14ac:dyDescent="0.2"/>
    <row r="89" s="142" customFormat="1" ht="13.5" customHeight="1" x14ac:dyDescent="0.2"/>
    <row r="90" s="142" customFormat="1" ht="13.5" customHeight="1" x14ac:dyDescent="0.2"/>
    <row r="91" s="142" customFormat="1" ht="13.5" customHeight="1" x14ac:dyDescent="0.2"/>
    <row r="92" s="142" customFormat="1" ht="13.5" customHeight="1" x14ac:dyDescent="0.2"/>
    <row r="93" s="142" customFormat="1" ht="13.5" customHeight="1" x14ac:dyDescent="0.2"/>
    <row r="94" s="142" customFormat="1" ht="13.5" customHeight="1" x14ac:dyDescent="0.2"/>
    <row r="95" s="142" customFormat="1" ht="13.5" customHeight="1" x14ac:dyDescent="0.2"/>
    <row r="96" s="142" customFormat="1" ht="13.5" customHeight="1" x14ac:dyDescent="0.2"/>
    <row r="97" s="142" customFormat="1" ht="13.5" customHeight="1" x14ac:dyDescent="0.2"/>
    <row r="98" s="142" customFormat="1" ht="13.5" customHeight="1" x14ac:dyDescent="0.2"/>
    <row r="99" s="142" customFormat="1" ht="13.5" customHeight="1" x14ac:dyDescent="0.2"/>
    <row r="100" s="142" customFormat="1" ht="13.5" customHeight="1" x14ac:dyDescent="0.2"/>
    <row r="101" s="142" customFormat="1" ht="13.5" customHeight="1" x14ac:dyDescent="0.2"/>
    <row r="102" s="142" customFormat="1" ht="13.5" customHeight="1" x14ac:dyDescent="0.2"/>
    <row r="103" s="142" customFormat="1" ht="13.5" customHeight="1" x14ac:dyDescent="0.2"/>
    <row r="104" s="142" customFormat="1" ht="13.5" customHeight="1" x14ac:dyDescent="0.2"/>
    <row r="105" s="142" customFormat="1" ht="13.5" customHeight="1" x14ac:dyDescent="0.2"/>
    <row r="106" s="142" customFormat="1" ht="13.5" customHeight="1" x14ac:dyDescent="0.2"/>
    <row r="107" s="142" customFormat="1" ht="13.5" customHeight="1" x14ac:dyDescent="0.2"/>
    <row r="108" s="142" customFormat="1" ht="13.5" customHeight="1" x14ac:dyDescent="0.2"/>
    <row r="109" s="142" customFormat="1" ht="13.5" customHeight="1" x14ac:dyDescent="0.2"/>
    <row r="110" s="142" customFormat="1" ht="13.5" customHeight="1" x14ac:dyDescent="0.2"/>
    <row r="111" s="142" customFormat="1" ht="13.5" customHeight="1" x14ac:dyDescent="0.2"/>
    <row r="112" s="142" customFormat="1" ht="13.5" customHeight="1" x14ac:dyDescent="0.2"/>
    <row r="113" s="142" customFormat="1" ht="13.5" customHeight="1" x14ac:dyDescent="0.2"/>
    <row r="114" s="142" customFormat="1" ht="13.5" customHeight="1" x14ac:dyDescent="0.2"/>
    <row r="115" s="142" customFormat="1" ht="13.5" customHeight="1" x14ac:dyDescent="0.2"/>
    <row r="116" s="142" customFormat="1" ht="13.5" customHeight="1" x14ac:dyDescent="0.2"/>
    <row r="117" s="142" customFormat="1" ht="13.5" customHeight="1" x14ac:dyDescent="0.2"/>
    <row r="118" s="142" customFormat="1" ht="13.5" customHeight="1" x14ac:dyDescent="0.2"/>
    <row r="119" s="142" customFormat="1" ht="13.5" customHeight="1" x14ac:dyDescent="0.2"/>
    <row r="120" s="142" customFormat="1" ht="13.5" customHeight="1" x14ac:dyDescent="0.2"/>
    <row r="121" s="142" customFormat="1" ht="13.5" customHeight="1" x14ac:dyDescent="0.2"/>
    <row r="122" s="142" customFormat="1" ht="13.5" customHeight="1" x14ac:dyDescent="0.2"/>
    <row r="123" s="142" customFormat="1" ht="13.5" customHeight="1" x14ac:dyDescent="0.2"/>
    <row r="124" s="142" customFormat="1"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sheetData>
  <sheetProtection algorithmName="SHA-512" hashValue="cKU5YJ5SmRaLtS0yNK1jw4XvffDaeNqZoDixk+gD+CLxsImRsK0mGZ1LnOClWtuhw2M2Bhe5dWmplSHlt8goJg==" saltValue="bbZpk8EP2UTWKxWWycPIaQ==" spinCount="100000" sheet="1" objects="1" scenarios="1"/>
  <mergeCells count="1">
    <mergeCell ref="C3:D3"/>
  </mergeCells>
  <hyperlinks>
    <hyperlink ref="D34" r:id="rId1" display="costs SE Facilities Costs Second Quarter 2016 "/>
    <hyperlink ref="D35" r:id="rId2" display="Lifecycle costs source: SE Life Cycle Costs Natural Turf Pitches and Artificial Surfaces April 2012"/>
  </hyperlinks>
  <pageMargins left="0.7" right="0.7" top="0.75" bottom="0.75" header="0.3" footer="0.3"/>
  <pageSetup paperSize="9" scale="6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X430"/>
  <sheetViews>
    <sheetView topLeftCell="N22" zoomScaleNormal="100" zoomScaleSheetLayoutView="100" workbookViewId="0">
      <selection activeCell="L84" sqref="L84"/>
    </sheetView>
  </sheetViews>
  <sheetFormatPr defaultColWidth="8.85546875" defaultRowHeight="12.75" x14ac:dyDescent="0.2"/>
  <cols>
    <col min="1" max="1" width="8.85546875" style="121"/>
    <col min="2" max="2" width="3" style="2" customWidth="1"/>
    <col min="3" max="3" width="2.28515625" style="2" customWidth="1"/>
    <col min="4" max="4" width="36.85546875" style="2" bestFit="1" customWidth="1"/>
    <col min="5" max="5" width="2" style="2" customWidth="1"/>
    <col min="6" max="6" width="14.85546875" style="2" customWidth="1"/>
    <col min="7" max="7" width="11.140625" style="2" customWidth="1"/>
    <col min="8" max="8" width="3.140625" style="2" customWidth="1"/>
    <col min="9" max="9" width="11.85546875" style="2" customWidth="1"/>
    <col min="10" max="10" width="13.28515625" style="2" customWidth="1"/>
    <col min="11" max="11" width="3.5703125" style="2" customWidth="1"/>
    <col min="12" max="12" width="19.7109375" style="2" customWidth="1"/>
    <col min="13" max="13" width="10.5703125" style="5" hidden="1" customWidth="1"/>
    <col min="14" max="14" width="9.140625" style="2" bestFit="1" customWidth="1"/>
    <col min="15" max="15" width="18" style="5" customWidth="1"/>
    <col min="16" max="16" width="3.140625" style="5" customWidth="1"/>
    <col min="17" max="17" width="20.42578125" style="2" customWidth="1"/>
    <col min="18" max="18" width="12.42578125" style="2" hidden="1" customWidth="1"/>
    <col min="19" max="19" width="3.7109375" style="2" customWidth="1"/>
    <col min="20" max="20" width="9.140625" style="2" bestFit="1" customWidth="1"/>
    <col min="21" max="21" width="15.28515625" style="2" customWidth="1"/>
    <col min="22" max="22" width="2" style="2" customWidth="1"/>
    <col min="23" max="23" width="9.140625" style="2" bestFit="1" customWidth="1"/>
    <col min="24" max="24" width="13" style="2" customWidth="1"/>
    <col min="25" max="25" width="13.42578125" style="2" customWidth="1"/>
    <col min="26" max="26" width="3.7109375" style="2" customWidth="1"/>
    <col min="27" max="27" width="9.140625" style="2" hidden="1" customWidth="1"/>
    <col min="28" max="28" width="14.42578125" style="2" hidden="1" customWidth="1"/>
    <col min="29" max="29" width="2" style="2" hidden="1" customWidth="1"/>
    <col min="30" max="30" width="9.140625" style="2" hidden="1" customWidth="1"/>
    <col min="31" max="31" width="13" style="2" hidden="1" customWidth="1"/>
    <col min="32" max="32" width="13.42578125" style="2" hidden="1" customWidth="1"/>
    <col min="33" max="33" width="3" style="2" hidden="1" customWidth="1"/>
    <col min="34" max="34" width="4.5703125" style="2" customWidth="1"/>
    <col min="35" max="41" width="23.7109375" style="2" customWidth="1"/>
    <col min="42" max="16384" width="8.85546875" style="2"/>
  </cols>
  <sheetData>
    <row r="1" spans="1:44" s="121" customFormat="1" ht="37.5" customHeight="1" x14ac:dyDescent="0.2">
      <c r="M1" s="122"/>
      <c r="O1" s="122"/>
      <c r="P1" s="122"/>
    </row>
    <row r="2" spans="1:44" s="14" customFormat="1" ht="10.5" customHeight="1" x14ac:dyDescent="0.2">
      <c r="A2" s="17"/>
      <c r="AI2" s="17"/>
      <c r="AJ2" s="17"/>
      <c r="AK2" s="17"/>
      <c r="AL2" s="17"/>
      <c r="AM2" s="17"/>
      <c r="AN2" s="17"/>
      <c r="AO2" s="17"/>
      <c r="AP2" s="17"/>
      <c r="AQ2" s="17"/>
      <c r="AR2" s="17"/>
    </row>
    <row r="3" spans="1:44" s="14" customFormat="1" ht="21" x14ac:dyDescent="0.2">
      <c r="A3" s="17"/>
      <c r="C3" s="192" t="s">
        <v>569</v>
      </c>
      <c r="D3" s="192"/>
      <c r="E3" s="192"/>
      <c r="F3" s="192"/>
      <c r="G3" s="192"/>
      <c r="H3" s="224"/>
      <c r="I3" s="224"/>
      <c r="J3" s="224"/>
      <c r="K3" s="224"/>
      <c r="L3" s="224"/>
      <c r="M3" s="224"/>
      <c r="N3" s="224"/>
      <c r="O3" s="224"/>
      <c r="P3" s="224"/>
      <c r="Q3" s="224"/>
      <c r="R3" s="224"/>
      <c r="S3" s="224"/>
      <c r="T3" s="224"/>
      <c r="U3" s="224"/>
      <c r="V3" s="224"/>
      <c r="W3" s="224"/>
      <c r="X3" s="224"/>
      <c r="Y3" s="224"/>
      <c r="AI3" s="17"/>
      <c r="AJ3" s="17"/>
      <c r="AK3" s="17"/>
      <c r="AL3" s="17"/>
      <c r="AM3" s="17"/>
      <c r="AN3" s="17"/>
      <c r="AO3" s="17"/>
      <c r="AP3" s="17"/>
      <c r="AQ3" s="17"/>
      <c r="AR3" s="17"/>
    </row>
    <row r="4" spans="1:44" s="14" customFormat="1" ht="12.75" customHeight="1" x14ac:dyDescent="0.2">
      <c r="A4" s="17"/>
      <c r="AI4" s="17"/>
      <c r="AJ4" s="17"/>
      <c r="AK4" s="17"/>
      <c r="AL4" s="17"/>
      <c r="AM4" s="17"/>
      <c r="AN4" s="17"/>
      <c r="AO4" s="17"/>
      <c r="AP4" s="17"/>
      <c r="AQ4" s="17"/>
      <c r="AR4" s="17"/>
    </row>
    <row r="5" spans="1:44" ht="63.75" customHeight="1" thickBot="1" x14ac:dyDescent="0.25">
      <c r="B5" s="3"/>
      <c r="C5" s="3"/>
      <c r="D5" s="3"/>
      <c r="E5" s="3"/>
      <c r="F5" s="226" t="s">
        <v>528</v>
      </c>
      <c r="G5" s="226"/>
      <c r="H5" s="3"/>
      <c r="I5" s="226" t="s">
        <v>559</v>
      </c>
      <c r="J5" s="226"/>
      <c r="K5" s="3"/>
      <c r="L5" s="226" t="s">
        <v>561</v>
      </c>
      <c r="M5" s="226"/>
      <c r="N5" s="226"/>
      <c r="O5" s="226"/>
      <c r="P5" s="6"/>
      <c r="Q5" s="60" t="s">
        <v>529</v>
      </c>
      <c r="R5" s="3"/>
      <c r="S5" s="3"/>
      <c r="T5" s="226" t="s">
        <v>530</v>
      </c>
      <c r="U5" s="230"/>
      <c r="V5" s="3"/>
      <c r="W5" s="226" t="s">
        <v>531</v>
      </c>
      <c r="X5" s="227"/>
      <c r="Y5" s="227"/>
      <c r="Z5" s="3"/>
      <c r="AA5" s="128" t="s">
        <v>465</v>
      </c>
      <c r="AB5" s="128"/>
      <c r="AC5" s="3"/>
      <c r="AD5" s="3"/>
      <c r="AE5" s="3"/>
      <c r="AF5" s="3"/>
      <c r="AG5" s="3"/>
      <c r="AH5" s="3"/>
      <c r="AI5" s="121"/>
      <c r="AJ5" s="121"/>
      <c r="AK5" s="121"/>
      <c r="AL5" s="121"/>
      <c r="AM5" s="121"/>
      <c r="AN5" s="121"/>
      <c r="AO5" s="121"/>
      <c r="AP5" s="121"/>
      <c r="AQ5" s="121"/>
      <c r="AR5" s="121"/>
    </row>
    <row r="6" spans="1:44" ht="90" thickBot="1" x14ac:dyDescent="0.25">
      <c r="B6" s="3"/>
      <c r="C6" s="3"/>
      <c r="D6" s="53" t="s">
        <v>34</v>
      </c>
      <c r="E6" s="54"/>
      <c r="F6" s="55" t="s">
        <v>502</v>
      </c>
      <c r="G6" s="55" t="s">
        <v>459</v>
      </c>
      <c r="H6" s="56"/>
      <c r="I6" s="55" t="s">
        <v>35</v>
      </c>
      <c r="J6" s="55" t="s">
        <v>462</v>
      </c>
      <c r="K6" s="57"/>
      <c r="L6" s="55" t="s">
        <v>504</v>
      </c>
      <c r="M6" s="58" t="s">
        <v>27</v>
      </c>
      <c r="N6" s="55" t="s">
        <v>464</v>
      </c>
      <c r="O6" s="55" t="s">
        <v>463</v>
      </c>
      <c r="P6" s="57"/>
      <c r="Q6" s="55" t="s">
        <v>506</v>
      </c>
      <c r="R6" s="59" t="s">
        <v>379</v>
      </c>
      <c r="S6" s="60"/>
      <c r="T6" s="55" t="s">
        <v>571</v>
      </c>
      <c r="U6" s="55" t="s">
        <v>511</v>
      </c>
      <c r="V6" s="56"/>
      <c r="W6" s="55" t="s">
        <v>32</v>
      </c>
      <c r="X6" s="55" t="s">
        <v>33</v>
      </c>
      <c r="Y6" s="61" t="s">
        <v>31</v>
      </c>
      <c r="Z6" s="60"/>
      <c r="AA6" s="62" t="s">
        <v>28</v>
      </c>
      <c r="AB6" s="55" t="s">
        <v>29</v>
      </c>
      <c r="AC6" s="56"/>
      <c r="AD6" s="55" t="s">
        <v>32</v>
      </c>
      <c r="AE6" s="55" t="s">
        <v>33</v>
      </c>
      <c r="AF6" s="55" t="s">
        <v>31</v>
      </c>
      <c r="AG6" s="3"/>
      <c r="AH6" s="3"/>
      <c r="AI6" s="121"/>
      <c r="AJ6" s="121"/>
      <c r="AK6" s="121"/>
      <c r="AL6" s="121"/>
      <c r="AM6" s="121"/>
      <c r="AN6" s="121"/>
      <c r="AO6" s="121"/>
      <c r="AP6" s="121"/>
      <c r="AQ6" s="121"/>
      <c r="AR6" s="121"/>
    </row>
    <row r="7" spans="1:44" x14ac:dyDescent="0.2">
      <c r="B7" s="3"/>
      <c r="C7" s="3"/>
      <c r="D7" s="63" t="s">
        <v>1</v>
      </c>
      <c r="E7" s="64"/>
      <c r="F7" s="65">
        <f>'PPS Data'!D10/Calculator!$D$11</f>
        <v>0.18680627369872457</v>
      </c>
      <c r="G7" s="66">
        <f>F7*Calculator!$D$13</f>
        <v>93.403136849362284</v>
      </c>
      <c r="H7" s="3"/>
      <c r="I7" s="67">
        <f>IF('PPS Data'!E10&gt;0,G7/'PPS Data'!E10,0)</f>
        <v>0.21113409169251979</v>
      </c>
      <c r="J7" s="67">
        <f>I7*'PPS Data'!H10+I7</f>
        <v>0.21113409169251979</v>
      </c>
      <c r="K7" s="68"/>
      <c r="L7" s="69">
        <f>J7/2</f>
        <v>0.10556704584625989</v>
      </c>
      <c r="M7" s="69">
        <f>I7/1</f>
        <v>0.21113409169251979</v>
      </c>
      <c r="N7" s="70">
        <f>'PPS Data'!G10</f>
        <v>1</v>
      </c>
      <c r="O7" s="69">
        <f t="shared" ref="O7:O14" si="0">L7*N7</f>
        <v>0.10556704584625989</v>
      </c>
      <c r="P7" s="68"/>
      <c r="Q7" s="71">
        <f>O7</f>
        <v>0.10556704584625989</v>
      </c>
      <c r="R7" s="72">
        <f>ROUNDUP(Q7+Q8,0)</f>
        <v>1</v>
      </c>
      <c r="S7" s="73"/>
      <c r="T7" s="74">
        <v>95000</v>
      </c>
      <c r="U7" s="74">
        <f>SUM(Q7:Q8)*T7</f>
        <v>10847.552568079971</v>
      </c>
      <c r="V7" s="3"/>
      <c r="W7" s="74">
        <f>U7/100*4.4</f>
        <v>477.29231299551873</v>
      </c>
      <c r="X7" s="74">
        <f>U7/100*16.7</f>
        <v>1811.541278869355</v>
      </c>
      <c r="Y7" s="74">
        <f>SUM(W7:X7)</f>
        <v>2288.8335918648736</v>
      </c>
      <c r="Z7" s="4"/>
      <c r="AA7" s="74">
        <v>85000</v>
      </c>
      <c r="AB7" s="74">
        <f>R7*AA7</f>
        <v>85000</v>
      </c>
      <c r="AC7" s="3"/>
      <c r="AD7" s="74">
        <f>AB7/100*4.4</f>
        <v>3740.0000000000005</v>
      </c>
      <c r="AE7" s="74">
        <f>AB7/100*16.7</f>
        <v>14195</v>
      </c>
      <c r="AF7" s="74">
        <f>SUM(AD7:AE7)</f>
        <v>17935</v>
      </c>
      <c r="AG7" s="3"/>
      <c r="AH7" s="3"/>
      <c r="AI7" s="121"/>
      <c r="AJ7" s="121"/>
      <c r="AK7" s="121"/>
      <c r="AL7" s="121"/>
      <c r="AM7" s="121"/>
      <c r="AN7" s="121"/>
      <c r="AO7" s="121"/>
      <c r="AP7" s="121"/>
      <c r="AQ7" s="121"/>
      <c r="AR7" s="121"/>
    </row>
    <row r="8" spans="1:44" x14ac:dyDescent="0.2">
      <c r="B8" s="3"/>
      <c r="C8" s="3"/>
      <c r="D8" s="75" t="s">
        <v>2</v>
      </c>
      <c r="E8" s="64"/>
      <c r="F8" s="65">
        <f>'PPS Data'!D11/Calculator!$D$11</f>
        <v>0.17603412616339192</v>
      </c>
      <c r="G8" s="66">
        <f>F8*Calculator!$D$13</f>
        <v>88.017063081695966</v>
      </c>
      <c r="H8" s="3"/>
      <c r="I8" s="67">
        <f>IF('PPS Data'!E11&gt;0,G8/'PPS Data'!E11,0)</f>
        <v>1.723543605653223E-2</v>
      </c>
      <c r="J8" s="67">
        <f>I8*'PPS Data'!H11+I8</f>
        <v>1.723543605653223E-2</v>
      </c>
      <c r="K8" s="68"/>
      <c r="L8" s="76">
        <f t="shared" ref="L8:L32" si="1">J8/2</f>
        <v>8.617718028266115E-3</v>
      </c>
      <c r="M8" s="69">
        <f t="shared" ref="M8:M32" si="2">I8/1</f>
        <v>1.723543605653223E-2</v>
      </c>
      <c r="N8" s="70">
        <f>'PPS Data'!G11</f>
        <v>1</v>
      </c>
      <c r="O8" s="69">
        <f t="shared" si="0"/>
        <v>8.617718028266115E-3</v>
      </c>
      <c r="P8" s="68"/>
      <c r="Q8" s="69">
        <f t="shared" ref="Q8:Q14" si="3">O8</f>
        <v>8.617718028266115E-3</v>
      </c>
      <c r="R8" s="77"/>
      <c r="S8" s="73"/>
      <c r="T8" s="78"/>
      <c r="U8" s="78"/>
      <c r="V8" s="3"/>
      <c r="W8" s="79"/>
      <c r="X8" s="78"/>
      <c r="Y8" s="80"/>
      <c r="Z8" s="4"/>
      <c r="AA8" s="78"/>
      <c r="AB8" s="78"/>
      <c r="AC8" s="3"/>
      <c r="AD8" s="79"/>
      <c r="AE8" s="78"/>
      <c r="AF8" s="80"/>
      <c r="AG8" s="3"/>
      <c r="AH8" s="3"/>
      <c r="AI8" s="121"/>
      <c r="AJ8" s="121"/>
      <c r="AK8" s="121"/>
      <c r="AL8" s="121"/>
      <c r="AM8" s="121"/>
      <c r="AN8" s="121"/>
      <c r="AO8" s="121"/>
      <c r="AP8" s="121"/>
      <c r="AQ8" s="121"/>
      <c r="AR8" s="121"/>
    </row>
    <row r="9" spans="1:44" x14ac:dyDescent="0.2">
      <c r="B9" s="3"/>
      <c r="C9" s="3"/>
      <c r="D9" s="75" t="s">
        <v>3</v>
      </c>
      <c r="E9" s="64"/>
      <c r="F9" s="65">
        <f>'PPS Data'!D12/Calculator!$D$11</f>
        <v>2.3069631161668391E-2</v>
      </c>
      <c r="G9" s="66">
        <f>F9*Calculator!$D$13</f>
        <v>11.534815580834195</v>
      </c>
      <c r="H9" s="3"/>
      <c r="I9" s="67">
        <f>IF('PPS Data'!E12&gt;0,G9/'PPS Data'!E12,0)</f>
        <v>0.19820751465012063</v>
      </c>
      <c r="J9" s="67">
        <f>I9*'PPS Data'!H12+I9</f>
        <v>0.19820751465012063</v>
      </c>
      <c r="K9" s="68"/>
      <c r="L9" s="76">
        <f t="shared" si="1"/>
        <v>9.9103757325060313E-2</v>
      </c>
      <c r="M9" s="69">
        <f t="shared" si="2"/>
        <v>0.19820751465012063</v>
      </c>
      <c r="N9" s="70">
        <f>'PPS Data'!G12</f>
        <v>1</v>
      </c>
      <c r="O9" s="69">
        <f t="shared" si="0"/>
        <v>9.9103757325060313E-2</v>
      </c>
      <c r="P9" s="68"/>
      <c r="Q9" s="69">
        <f t="shared" si="3"/>
        <v>9.9103757325060313E-2</v>
      </c>
      <c r="R9" s="72">
        <f>ROUNDUP(Q9+Q10+Q11+Q12,0)</f>
        <v>1</v>
      </c>
      <c r="S9" s="73"/>
      <c r="T9" s="74">
        <v>75000</v>
      </c>
      <c r="U9" s="74">
        <f>SUM(Q9:Q12)*T9</f>
        <v>13572.90589451913</v>
      </c>
      <c r="V9" s="3"/>
      <c r="W9" s="74">
        <f t="shared" ref="W9" si="4">U9/100*4</f>
        <v>542.91623578076519</v>
      </c>
      <c r="X9" s="74">
        <f t="shared" ref="X9" si="5">U9/100*17</f>
        <v>2307.3940020682521</v>
      </c>
      <c r="Y9" s="74">
        <f t="shared" ref="Y9" si="6">SUM(W9:X9)</f>
        <v>2850.3102378490175</v>
      </c>
      <c r="Z9" s="4"/>
      <c r="AA9" s="74">
        <v>70000</v>
      </c>
      <c r="AB9" s="74">
        <f>R9*AA9</f>
        <v>70000</v>
      </c>
      <c r="AC9" s="3"/>
      <c r="AD9" s="74">
        <f t="shared" ref="AD9:AD13" si="7">AB9/100*4</f>
        <v>2800</v>
      </c>
      <c r="AE9" s="74">
        <f t="shared" ref="AE9:AE13" si="8">AB9/100*17</f>
        <v>11900</v>
      </c>
      <c r="AF9" s="74">
        <f t="shared" ref="AF9:AF24" si="9">SUM(AD9:AE9)</f>
        <v>14700</v>
      </c>
      <c r="AG9" s="3"/>
      <c r="AH9" s="3"/>
      <c r="AI9" s="121"/>
      <c r="AJ9" s="121"/>
      <c r="AK9" s="121"/>
      <c r="AL9" s="121"/>
      <c r="AM9" s="121"/>
      <c r="AN9" s="121"/>
      <c r="AO9" s="121"/>
      <c r="AP9" s="121"/>
      <c r="AQ9" s="121"/>
      <c r="AR9" s="121"/>
    </row>
    <row r="10" spans="1:44" x14ac:dyDescent="0.2">
      <c r="B10" s="3"/>
      <c r="C10" s="3"/>
      <c r="D10" s="75" t="s">
        <v>4</v>
      </c>
      <c r="E10" s="64"/>
      <c r="F10" s="65">
        <f>'PPS Data'!D13/Calculator!$D$11</f>
        <v>2.2173388486728715E-2</v>
      </c>
      <c r="G10" s="66">
        <f>F10*Calculator!$D$13</f>
        <v>11.086694243364358</v>
      </c>
      <c r="H10" s="3"/>
      <c r="I10" s="67">
        <f>IF('PPS Data'!E13&gt;0,G10/'PPS Data'!E13,0)</f>
        <v>2.1544295070665288E-2</v>
      </c>
      <c r="J10" s="67">
        <f>I10*'PPS Data'!H13+I10</f>
        <v>2.1544295070665288E-2</v>
      </c>
      <c r="K10" s="68"/>
      <c r="L10" s="76">
        <f t="shared" si="1"/>
        <v>1.0772147535332644E-2</v>
      </c>
      <c r="M10" s="69">
        <f t="shared" si="2"/>
        <v>2.1544295070665288E-2</v>
      </c>
      <c r="N10" s="70">
        <f>'PPS Data'!G13</f>
        <v>1</v>
      </c>
      <c r="O10" s="69">
        <f t="shared" si="0"/>
        <v>1.0772147535332644E-2</v>
      </c>
      <c r="P10" s="68"/>
      <c r="Q10" s="69">
        <f t="shared" si="3"/>
        <v>1.0772147535332644E-2</v>
      </c>
      <c r="R10" s="81"/>
      <c r="S10" s="73"/>
      <c r="T10" s="74"/>
      <c r="U10" s="74"/>
      <c r="V10" s="3"/>
      <c r="W10" s="74"/>
      <c r="X10" s="74"/>
      <c r="Y10" s="74"/>
      <c r="Z10" s="4"/>
      <c r="AA10" s="74"/>
      <c r="AB10" s="74"/>
      <c r="AC10" s="3"/>
      <c r="AD10" s="74"/>
      <c r="AE10" s="74"/>
      <c r="AF10" s="74"/>
      <c r="AG10" s="3"/>
      <c r="AH10" s="3"/>
      <c r="AI10" s="121"/>
      <c r="AJ10" s="121"/>
      <c r="AK10" s="121"/>
      <c r="AL10" s="121"/>
      <c r="AM10" s="121"/>
      <c r="AN10" s="121"/>
      <c r="AO10" s="121"/>
      <c r="AP10" s="121"/>
      <c r="AQ10" s="121"/>
      <c r="AR10" s="121"/>
    </row>
    <row r="11" spans="1:44" x14ac:dyDescent="0.2">
      <c r="B11" s="3"/>
      <c r="C11" s="3"/>
      <c r="D11" s="75" t="s">
        <v>5</v>
      </c>
      <c r="E11" s="64"/>
      <c r="F11" s="65">
        <f>'PPS Data'!D14/Calculator!$D$11</f>
        <v>1.1720096518441917E-2</v>
      </c>
      <c r="G11" s="66">
        <f>F11*Calculator!$D$13</f>
        <v>5.8600482592209584</v>
      </c>
      <c r="H11" s="3"/>
      <c r="I11" s="67">
        <f>IF('PPS Data'!E14&gt;0,G11/'PPS Data'!E14,0)</f>
        <v>0.13357462943812479</v>
      </c>
      <c r="J11" s="67">
        <f>I11*'PPS Data'!H14+I11</f>
        <v>0.13357462943812479</v>
      </c>
      <c r="K11" s="68"/>
      <c r="L11" s="76">
        <f t="shared" si="1"/>
        <v>6.6787314719062393E-2</v>
      </c>
      <c r="M11" s="69">
        <f t="shared" si="2"/>
        <v>0.13357462943812479</v>
      </c>
      <c r="N11" s="70">
        <f>'PPS Data'!G14</f>
        <v>1</v>
      </c>
      <c r="O11" s="69">
        <f t="shared" si="0"/>
        <v>6.6787314719062393E-2</v>
      </c>
      <c r="P11" s="68"/>
      <c r="Q11" s="76">
        <f t="shared" si="3"/>
        <v>6.6787314719062393E-2</v>
      </c>
      <c r="R11" s="81"/>
      <c r="S11" s="73"/>
      <c r="T11" s="74"/>
      <c r="U11" s="74"/>
      <c r="V11" s="3"/>
      <c r="W11" s="74"/>
      <c r="X11" s="74"/>
      <c r="Y11" s="74"/>
      <c r="Z11" s="4"/>
      <c r="AA11" s="74"/>
      <c r="AB11" s="74"/>
      <c r="AC11" s="3"/>
      <c r="AD11" s="74"/>
      <c r="AE11" s="74"/>
      <c r="AF11" s="74"/>
      <c r="AG11" s="3"/>
      <c r="AH11" s="3"/>
      <c r="AI11" s="121"/>
      <c r="AJ11" s="121"/>
      <c r="AK11" s="121"/>
      <c r="AL11" s="121"/>
      <c r="AM11" s="121"/>
      <c r="AN11" s="121"/>
      <c r="AO11" s="121"/>
      <c r="AP11" s="121"/>
      <c r="AQ11" s="121"/>
      <c r="AR11" s="121"/>
    </row>
    <row r="12" spans="1:44" x14ac:dyDescent="0.2">
      <c r="B12" s="3"/>
      <c r="C12" s="3"/>
      <c r="D12" s="75" t="s">
        <v>6</v>
      </c>
      <c r="E12" s="64"/>
      <c r="F12" s="65">
        <f>'PPS Data'!D15/Calculator!$D$11</f>
        <v>1.1323681489141675E-2</v>
      </c>
      <c r="G12" s="66">
        <f>F12*Calculator!$D$13</f>
        <v>5.6618407445708376</v>
      </c>
      <c r="H12" s="3"/>
      <c r="I12" s="67">
        <f>IF('PPS Data'!E15&gt;0,G12/'PPS Data'!E15,0)</f>
        <v>8.617718028266115E-3</v>
      </c>
      <c r="J12" s="67">
        <f>I12*'PPS Data'!H15+I12</f>
        <v>8.617718028266115E-3</v>
      </c>
      <c r="K12" s="68"/>
      <c r="L12" s="76">
        <f t="shared" si="1"/>
        <v>4.3088590141330575E-3</v>
      </c>
      <c r="M12" s="69">
        <f t="shared" si="2"/>
        <v>8.617718028266115E-3</v>
      </c>
      <c r="N12" s="70">
        <f>'PPS Data'!G15</f>
        <v>1</v>
      </c>
      <c r="O12" s="69">
        <f t="shared" si="0"/>
        <v>4.3088590141330575E-3</v>
      </c>
      <c r="P12" s="68"/>
      <c r="Q12" s="69">
        <f t="shared" si="3"/>
        <v>4.3088590141330575E-3</v>
      </c>
      <c r="R12" s="77"/>
      <c r="S12" s="73"/>
      <c r="T12" s="78"/>
      <c r="U12" s="78"/>
      <c r="V12" s="3"/>
      <c r="W12" s="78"/>
      <c r="X12" s="78"/>
      <c r="Y12" s="78"/>
      <c r="Z12" s="4"/>
      <c r="AA12" s="78"/>
      <c r="AB12" s="78"/>
      <c r="AC12" s="3"/>
      <c r="AD12" s="78"/>
      <c r="AE12" s="78"/>
      <c r="AF12" s="78"/>
      <c r="AG12" s="3"/>
      <c r="AH12" s="3"/>
      <c r="AI12" s="121"/>
      <c r="AJ12" s="121"/>
      <c r="AK12" s="121"/>
      <c r="AL12" s="121"/>
      <c r="AM12" s="121"/>
      <c r="AN12" s="121"/>
      <c r="AO12" s="121"/>
      <c r="AP12" s="121"/>
      <c r="AQ12" s="121"/>
      <c r="AR12" s="121"/>
    </row>
    <row r="13" spans="1:44" x14ac:dyDescent="0.2">
      <c r="B13" s="3"/>
      <c r="C13" s="3"/>
      <c r="D13" s="82" t="s">
        <v>7</v>
      </c>
      <c r="E13" s="64"/>
      <c r="F13" s="65">
        <f>'PPS Data'!D16/Calculator!$D$11</f>
        <v>2.2793864184763875E-2</v>
      </c>
      <c r="G13" s="66">
        <f>F13*Calculator!$D$13</f>
        <v>11.396932092381938</v>
      </c>
      <c r="H13" s="3"/>
      <c r="I13" s="67">
        <f>IF('PPS Data'!E16&gt;0,G13/'PPS Data'!E16,0)</f>
        <v>6.4632885211995866E-2</v>
      </c>
      <c r="J13" s="67">
        <f>I13*'PPS Data'!H16+I13</f>
        <v>6.4632885211995866E-2</v>
      </c>
      <c r="K13" s="68"/>
      <c r="L13" s="76">
        <f t="shared" si="1"/>
        <v>3.2316442605997933E-2</v>
      </c>
      <c r="M13" s="69">
        <f t="shared" si="2"/>
        <v>6.4632885211995866E-2</v>
      </c>
      <c r="N13" s="70">
        <f>'PPS Data'!G16</f>
        <v>1</v>
      </c>
      <c r="O13" s="69">
        <f t="shared" si="0"/>
        <v>3.2316442605997933E-2</v>
      </c>
      <c r="P13" s="68"/>
      <c r="Q13" s="69">
        <f t="shared" si="3"/>
        <v>3.2316442605997933E-2</v>
      </c>
      <c r="R13" s="72">
        <f>ROUNDUP(Q13+Q14,0)</f>
        <v>1</v>
      </c>
      <c r="S13" s="73"/>
      <c r="T13" s="74">
        <v>25000</v>
      </c>
      <c r="U13" s="74">
        <f>SUM(Q13:Q14)*T13</f>
        <v>2746.8976215098246</v>
      </c>
      <c r="V13" s="83"/>
      <c r="W13" s="74">
        <f t="shared" ref="W13" si="10">U13/100*4</f>
        <v>109.87590486039298</v>
      </c>
      <c r="X13" s="74">
        <f t="shared" ref="X13" si="11">U13/100*17</f>
        <v>466.97259565667014</v>
      </c>
      <c r="Y13" s="74">
        <f t="shared" ref="Y13" si="12">SUM(W13:X13)</f>
        <v>576.84850051706314</v>
      </c>
      <c r="Z13" s="4"/>
      <c r="AA13" s="74">
        <v>20000</v>
      </c>
      <c r="AB13" s="74">
        <f>R13*AA13</f>
        <v>20000</v>
      </c>
      <c r="AC13" s="83"/>
      <c r="AD13" s="74">
        <f t="shared" si="7"/>
        <v>800</v>
      </c>
      <c r="AE13" s="74">
        <f t="shared" si="8"/>
        <v>3400</v>
      </c>
      <c r="AF13" s="74">
        <f t="shared" si="9"/>
        <v>4200</v>
      </c>
      <c r="AG13" s="3"/>
      <c r="AH13" s="3"/>
      <c r="AI13" s="121"/>
      <c r="AJ13" s="121"/>
      <c r="AK13" s="121"/>
      <c r="AL13" s="121"/>
      <c r="AM13" s="121"/>
      <c r="AN13" s="121"/>
      <c r="AO13" s="121"/>
      <c r="AP13" s="121"/>
      <c r="AQ13" s="121"/>
      <c r="AR13" s="121"/>
    </row>
    <row r="14" spans="1:44" ht="13.5" thickBot="1" x14ac:dyDescent="0.25">
      <c r="B14" s="3"/>
      <c r="C14" s="3"/>
      <c r="D14" s="84" t="s">
        <v>8</v>
      </c>
      <c r="E14" s="64"/>
      <c r="F14" s="85">
        <f>'PPS Data'!D17/Calculator!$D$11</f>
        <v>2.4741468459152018E-2</v>
      </c>
      <c r="G14" s="86">
        <f>F14*Calculator!$D$13</f>
        <v>12.370734229576009</v>
      </c>
      <c r="H14" s="83"/>
      <c r="I14" s="87">
        <f>IF('PPS Data'!E17&gt;0,G14/'PPS Data'!E17,0)</f>
        <v>0.15511892450879008</v>
      </c>
      <c r="J14" s="88">
        <f>I14*'PPS Data'!H17+I14</f>
        <v>0.15511892450879008</v>
      </c>
      <c r="K14" s="68"/>
      <c r="L14" s="87">
        <f t="shared" si="1"/>
        <v>7.7559462254395042E-2</v>
      </c>
      <c r="M14" s="89">
        <f t="shared" si="2"/>
        <v>0.15511892450879008</v>
      </c>
      <c r="N14" s="90">
        <f>'PPS Data'!G17</f>
        <v>1</v>
      </c>
      <c r="O14" s="87">
        <f t="shared" si="0"/>
        <v>7.7559462254395042E-2</v>
      </c>
      <c r="P14" s="68"/>
      <c r="Q14" s="87">
        <f t="shared" si="3"/>
        <v>7.7559462254395042E-2</v>
      </c>
      <c r="R14" s="77"/>
      <c r="S14" s="73"/>
      <c r="T14" s="91"/>
      <c r="U14" s="91"/>
      <c r="V14" s="83"/>
      <c r="W14" s="91"/>
      <c r="X14" s="91"/>
      <c r="Y14" s="91"/>
      <c r="Z14" s="4"/>
      <c r="AA14" s="91"/>
      <c r="AB14" s="91"/>
      <c r="AC14" s="83"/>
      <c r="AD14" s="91"/>
      <c r="AE14" s="91"/>
      <c r="AF14" s="91"/>
      <c r="AG14" s="3"/>
      <c r="AH14" s="3"/>
      <c r="AI14" s="121"/>
      <c r="AJ14" s="121"/>
      <c r="AK14" s="121"/>
      <c r="AL14" s="121"/>
      <c r="AM14" s="121"/>
      <c r="AN14" s="121"/>
      <c r="AO14" s="121"/>
      <c r="AP14" s="121"/>
      <c r="AQ14" s="121"/>
      <c r="AR14" s="121"/>
    </row>
    <row r="15" spans="1:44" x14ac:dyDescent="0.2">
      <c r="B15" s="3"/>
      <c r="C15" s="3"/>
      <c r="D15" s="63" t="s">
        <v>9</v>
      </c>
      <c r="E15" s="64"/>
      <c r="F15" s="65">
        <f>'PPS Data'!D18/Calculator!$D$11</f>
        <v>0.2484488107549121</v>
      </c>
      <c r="G15" s="66">
        <f>F15*Calculator!$D$13</f>
        <v>124.22440537745605</v>
      </c>
      <c r="H15" s="83"/>
      <c r="I15" s="67">
        <f>IF('PPS Data'!E18&gt;0,G15/'PPS Data'!E18,0)</f>
        <v>0.15081006549465703</v>
      </c>
      <c r="J15" s="67">
        <f>I15*'PPS Data'!H18+I15</f>
        <v>0.15081006549465703</v>
      </c>
      <c r="K15" s="68"/>
      <c r="L15" s="69">
        <f>J15*10</f>
        <v>1.5081006549465703</v>
      </c>
      <c r="M15" s="69">
        <f>I15/1</f>
        <v>0.15081006549465703</v>
      </c>
      <c r="N15" s="92" t="str">
        <f>'PPS Data'!G18</f>
        <v>N/a</v>
      </c>
      <c r="O15" s="69">
        <f>L15</f>
        <v>1.5081006549465703</v>
      </c>
      <c r="P15" s="68"/>
      <c r="Q15" s="69">
        <f>O15/40</f>
        <v>3.7702516373664258E-2</v>
      </c>
      <c r="R15" s="72">
        <f>ROUNDUP(Q15+Q16+Q17+Q18,0)</f>
        <v>1</v>
      </c>
      <c r="S15" s="73"/>
      <c r="T15" s="74">
        <v>285000</v>
      </c>
      <c r="U15" s="74">
        <f>SUM(Q15:Q18)*T15</f>
        <v>17718.643817402866</v>
      </c>
      <c r="V15" s="83"/>
      <c r="W15" s="74">
        <f>U15/100*4.9</f>
        <v>868.21354705274052</v>
      </c>
      <c r="X15" s="74">
        <f>U15/100*15.3</f>
        <v>2710.9525040626386</v>
      </c>
      <c r="Y15" s="74">
        <f t="shared" ref="Y15" si="13">SUM(W15:X15)</f>
        <v>3579.1660511153791</v>
      </c>
      <c r="Z15" s="4"/>
      <c r="AA15" s="74">
        <v>265000</v>
      </c>
      <c r="AB15" s="74">
        <f>R15*AA15</f>
        <v>265000</v>
      </c>
      <c r="AC15" s="83"/>
      <c r="AD15" s="74">
        <f>AB15/100*4.9</f>
        <v>12985.000000000002</v>
      </c>
      <c r="AE15" s="74">
        <f>AB15/100*15.3</f>
        <v>40545</v>
      </c>
      <c r="AF15" s="74">
        <f t="shared" si="9"/>
        <v>53530</v>
      </c>
      <c r="AG15" s="3"/>
      <c r="AH15" s="3"/>
      <c r="AI15" s="121"/>
      <c r="AJ15" s="121"/>
      <c r="AK15" s="121"/>
      <c r="AL15" s="121"/>
      <c r="AM15" s="121"/>
      <c r="AN15" s="121"/>
      <c r="AO15" s="121"/>
      <c r="AP15" s="121"/>
      <c r="AQ15" s="121"/>
      <c r="AR15" s="121"/>
    </row>
    <row r="16" spans="1:44" x14ac:dyDescent="0.2">
      <c r="B16" s="3"/>
      <c r="C16" s="3"/>
      <c r="D16" s="75" t="s">
        <v>10</v>
      </c>
      <c r="E16" s="64"/>
      <c r="F16" s="65">
        <f>'PPS Data'!D19/Calculator!$D$11</f>
        <v>0.23820234401930368</v>
      </c>
      <c r="G16" s="66">
        <f>F16*Calculator!$D$13</f>
        <v>119.10117200965183</v>
      </c>
      <c r="H16" s="83"/>
      <c r="I16" s="67">
        <f>IF('PPS Data'!E19&gt;0,G16/'PPS Data'!E19,0)</f>
        <v>4.3088590141330575E-3</v>
      </c>
      <c r="J16" s="67">
        <f>I16*'PPS Data'!H19+I16</f>
        <v>4.3088590141330575E-3</v>
      </c>
      <c r="K16" s="68"/>
      <c r="L16" s="76">
        <f>J16*10</f>
        <v>4.3088590141330575E-2</v>
      </c>
      <c r="M16" s="69">
        <f t="shared" si="2"/>
        <v>4.3088590141330575E-3</v>
      </c>
      <c r="N16" s="92" t="str">
        <f>'PPS Data'!G19</f>
        <v>N/a</v>
      </c>
      <c r="O16" s="69">
        <f>L16</f>
        <v>4.3088590141330575E-2</v>
      </c>
      <c r="P16" s="68"/>
      <c r="Q16" s="69">
        <f>O16/40</f>
        <v>1.0772147535332644E-3</v>
      </c>
      <c r="R16" s="81"/>
      <c r="S16" s="73"/>
      <c r="T16" s="74"/>
      <c r="U16" s="74"/>
      <c r="V16" s="83"/>
      <c r="W16" s="74"/>
      <c r="X16" s="74"/>
      <c r="Y16" s="74"/>
      <c r="Z16" s="4"/>
      <c r="AA16" s="74"/>
      <c r="AB16" s="74"/>
      <c r="AC16" s="83"/>
      <c r="AD16" s="74"/>
      <c r="AE16" s="74"/>
      <c r="AF16" s="74"/>
      <c r="AG16" s="3"/>
      <c r="AH16" s="3"/>
      <c r="AI16" s="121"/>
      <c r="AJ16" s="121"/>
      <c r="AK16" s="121"/>
      <c r="AL16" s="121"/>
      <c r="AM16" s="121"/>
      <c r="AN16" s="121"/>
      <c r="AO16" s="121"/>
      <c r="AP16" s="121"/>
      <c r="AQ16" s="121"/>
      <c r="AR16" s="121"/>
    </row>
    <row r="17" spans="2:44" x14ac:dyDescent="0.2">
      <c r="B17" s="3"/>
      <c r="C17" s="3"/>
      <c r="D17" s="82" t="s">
        <v>11</v>
      </c>
      <c r="E17" s="64"/>
      <c r="F17" s="65">
        <f>'PPS Data'!D20/Calculator!$D$11</f>
        <v>6.9872457773181657E-2</v>
      </c>
      <c r="G17" s="66">
        <f>F17*Calculator!$D$13</f>
        <v>34.936228886590825</v>
      </c>
      <c r="H17" s="83"/>
      <c r="I17" s="67">
        <f>IF('PPS Data'!E20&gt;0,G17/'PPS Data'!E20,0)</f>
        <v>0.16373664253705617</v>
      </c>
      <c r="J17" s="67">
        <f>I17*'PPS Data'!H20+I17</f>
        <v>0.16373664253705617</v>
      </c>
      <c r="K17" s="68"/>
      <c r="L17" s="76">
        <f>J17*8</f>
        <v>1.3098931402964493</v>
      </c>
      <c r="M17" s="69">
        <f t="shared" si="2"/>
        <v>0.16373664253705617</v>
      </c>
      <c r="N17" s="92" t="str">
        <f>'PPS Data'!G20</f>
        <v>N/a</v>
      </c>
      <c r="O17" s="69">
        <f>L17</f>
        <v>1.3098931402964493</v>
      </c>
      <c r="P17" s="68"/>
      <c r="Q17" s="69">
        <f>O17/56</f>
        <v>2.3390948933865167E-2</v>
      </c>
      <c r="R17" s="81"/>
      <c r="S17" s="73"/>
      <c r="T17" s="74"/>
      <c r="U17" s="74"/>
      <c r="V17" s="83"/>
      <c r="W17" s="74"/>
      <c r="X17" s="74"/>
      <c r="Y17" s="74"/>
      <c r="Z17" s="4"/>
      <c r="AA17" s="74"/>
      <c r="AB17" s="74"/>
      <c r="AC17" s="83"/>
      <c r="AD17" s="74"/>
      <c r="AE17" s="74"/>
      <c r="AF17" s="74"/>
      <c r="AG17" s="3"/>
      <c r="AH17" s="3"/>
      <c r="AI17" s="121"/>
      <c r="AJ17" s="121"/>
      <c r="AK17" s="121"/>
      <c r="AL17" s="121"/>
      <c r="AM17" s="121"/>
      <c r="AN17" s="121"/>
      <c r="AO17" s="121"/>
      <c r="AP17" s="121"/>
      <c r="AQ17" s="121"/>
      <c r="AR17" s="121"/>
    </row>
    <row r="18" spans="2:44" ht="13.5" thickBot="1" x14ac:dyDescent="0.25">
      <c r="B18" s="3"/>
      <c r="C18" s="3"/>
      <c r="D18" s="84" t="s">
        <v>12</v>
      </c>
      <c r="E18" s="64"/>
      <c r="F18" s="85">
        <f>'PPS Data'!D21/Calculator!$D$11</f>
        <v>6.8097207859358841E-2</v>
      </c>
      <c r="G18" s="86">
        <f>F18*Calculator!$D$13</f>
        <v>34.048603929679423</v>
      </c>
      <c r="H18" s="83"/>
      <c r="I18" s="87">
        <f>IF('PPS Data'!E21&gt;0,G18/'PPS Data'!E21,0)</f>
        <v>0</v>
      </c>
      <c r="J18" s="88">
        <f>I18*'PPS Data'!H21+I18</f>
        <v>0</v>
      </c>
      <c r="K18" s="68"/>
      <c r="L18" s="87">
        <f>J18*8</f>
        <v>0</v>
      </c>
      <c r="M18" s="89">
        <f t="shared" si="2"/>
        <v>0</v>
      </c>
      <c r="N18" s="93" t="str">
        <f>'PPS Data'!G21</f>
        <v>N/a</v>
      </c>
      <c r="O18" s="87">
        <f>L18</f>
        <v>0</v>
      </c>
      <c r="P18" s="68"/>
      <c r="Q18" s="87">
        <f>O18/56</f>
        <v>0</v>
      </c>
      <c r="R18" s="77"/>
      <c r="S18" s="73"/>
      <c r="T18" s="91"/>
      <c r="U18" s="91"/>
      <c r="V18" s="83"/>
      <c r="W18" s="91"/>
      <c r="X18" s="91"/>
      <c r="Y18" s="91"/>
      <c r="Z18" s="4"/>
      <c r="AA18" s="91"/>
      <c r="AB18" s="91"/>
      <c r="AC18" s="83"/>
      <c r="AD18" s="91"/>
      <c r="AE18" s="91"/>
      <c r="AF18" s="91"/>
      <c r="AG18" s="3"/>
      <c r="AH18" s="3"/>
      <c r="AI18" s="121"/>
      <c r="AJ18" s="121"/>
      <c r="AK18" s="121"/>
      <c r="AL18" s="121"/>
      <c r="AM18" s="121"/>
      <c r="AN18" s="121"/>
      <c r="AO18" s="121"/>
      <c r="AP18" s="121"/>
      <c r="AQ18" s="121"/>
      <c r="AR18" s="121"/>
    </row>
    <row r="19" spans="2:44" x14ac:dyDescent="0.2">
      <c r="B19" s="3"/>
      <c r="C19" s="3"/>
      <c r="D19" s="63" t="s">
        <v>13</v>
      </c>
      <c r="E19" s="64"/>
      <c r="F19" s="65">
        <f>'PPS Data'!D22/Calculator!$D$11</f>
        <v>0.1692261289210617</v>
      </c>
      <c r="G19" s="66">
        <f>F19*Calculator!$D$13</f>
        <v>84.61306446053085</v>
      </c>
      <c r="H19" s="83"/>
      <c r="I19" s="67">
        <f>IF('PPS Data'!E22&gt;0,G19/'PPS Data'!E22,0)</f>
        <v>3.447087211306446E-2</v>
      </c>
      <c r="J19" s="67">
        <f>I19*'PPS Data'!H22+I19</f>
        <v>3.447087211306446E-2</v>
      </c>
      <c r="K19" s="68"/>
      <c r="L19" s="69">
        <f t="shared" si="1"/>
        <v>1.723543605653223E-2</v>
      </c>
      <c r="M19" s="69">
        <f t="shared" si="2"/>
        <v>3.447087211306446E-2</v>
      </c>
      <c r="N19" s="70">
        <f>'PPS Data'!G22</f>
        <v>1</v>
      </c>
      <c r="O19" s="69">
        <f>L19*N19</f>
        <v>1.723543605653223E-2</v>
      </c>
      <c r="P19" s="68"/>
      <c r="Q19" s="69">
        <f>O19</f>
        <v>1.723543605653223E-2</v>
      </c>
      <c r="R19" s="72">
        <f>ROUNDUP(Q19+Q20+Q21+Q22+Q23,0)</f>
        <v>1</v>
      </c>
      <c r="S19" s="73"/>
      <c r="T19" s="74">
        <v>135000</v>
      </c>
      <c r="U19" s="74">
        <f>SUM(Q19:Q23)*T19</f>
        <v>7707.4715615305058</v>
      </c>
      <c r="V19" s="83"/>
      <c r="W19" s="74">
        <f>U19/100*4.7</f>
        <v>362.25116339193374</v>
      </c>
      <c r="X19" s="74">
        <f>U19/100*16.7</f>
        <v>1287.1477507755944</v>
      </c>
      <c r="Y19" s="74">
        <f t="shared" ref="Y19" si="14">SUM(W19:X19)</f>
        <v>1649.3989141675281</v>
      </c>
      <c r="Z19" s="4"/>
      <c r="AA19" s="74">
        <v>115000</v>
      </c>
      <c r="AB19" s="74">
        <f>R19*AA19</f>
        <v>115000</v>
      </c>
      <c r="AC19" s="83"/>
      <c r="AD19" s="74">
        <f>AB19/100*4.7</f>
        <v>5405</v>
      </c>
      <c r="AE19" s="74">
        <f>AB19/100*16.7</f>
        <v>19205</v>
      </c>
      <c r="AF19" s="74">
        <f t="shared" si="9"/>
        <v>24610</v>
      </c>
      <c r="AG19" s="3"/>
      <c r="AH19" s="3"/>
      <c r="AI19" s="121"/>
      <c r="AJ19" s="121"/>
      <c r="AK19" s="121"/>
      <c r="AL19" s="121"/>
      <c r="AM19" s="121"/>
      <c r="AN19" s="121"/>
      <c r="AO19" s="121"/>
      <c r="AP19" s="121"/>
      <c r="AQ19" s="121"/>
      <c r="AR19" s="121"/>
    </row>
    <row r="20" spans="2:44" x14ac:dyDescent="0.2">
      <c r="B20" s="3"/>
      <c r="C20" s="3"/>
      <c r="D20" s="75" t="s">
        <v>14</v>
      </c>
      <c r="E20" s="64"/>
      <c r="F20" s="65">
        <f>'PPS Data'!D23/Calculator!$D$11</f>
        <v>0.15899689762150981</v>
      </c>
      <c r="G20" s="66">
        <f>F20*Calculator!$D$13</f>
        <v>79.498448810754908</v>
      </c>
      <c r="H20" s="83"/>
      <c r="I20" s="67">
        <f>IF('PPS Data'!E23&gt;0,G20/'PPS Data'!E23,0)</f>
        <v>0</v>
      </c>
      <c r="J20" s="67">
        <f>I20*'PPS Data'!H23+I20</f>
        <v>0</v>
      </c>
      <c r="K20" s="68"/>
      <c r="L20" s="76">
        <f t="shared" si="1"/>
        <v>0</v>
      </c>
      <c r="M20" s="69">
        <f t="shared" si="2"/>
        <v>0</v>
      </c>
      <c r="N20" s="70">
        <f>'PPS Data'!G23</f>
        <v>1</v>
      </c>
      <c r="O20" s="69">
        <f>L20*N20</f>
        <v>0</v>
      </c>
      <c r="P20" s="68"/>
      <c r="Q20" s="69">
        <f t="shared" ref="Q20:Q23" si="15">O20</f>
        <v>0</v>
      </c>
      <c r="R20" s="81"/>
      <c r="S20" s="73"/>
      <c r="T20" s="74"/>
      <c r="U20" s="74"/>
      <c r="V20" s="83"/>
      <c r="W20" s="74"/>
      <c r="X20" s="74"/>
      <c r="Y20" s="74"/>
      <c r="Z20" s="4"/>
      <c r="AA20" s="74"/>
      <c r="AB20" s="74"/>
      <c r="AC20" s="83"/>
      <c r="AD20" s="74"/>
      <c r="AE20" s="74"/>
      <c r="AF20" s="74"/>
      <c r="AG20" s="3"/>
      <c r="AH20" s="3"/>
      <c r="AI20" s="121"/>
      <c r="AJ20" s="121"/>
      <c r="AK20" s="121"/>
      <c r="AL20" s="121"/>
      <c r="AM20" s="121"/>
      <c r="AN20" s="121"/>
      <c r="AO20" s="121"/>
      <c r="AP20" s="121"/>
      <c r="AQ20" s="121"/>
      <c r="AR20" s="121"/>
    </row>
    <row r="21" spans="2:44" x14ac:dyDescent="0.2">
      <c r="B21" s="3"/>
      <c r="C21" s="3"/>
      <c r="D21" s="75" t="s">
        <v>15</v>
      </c>
      <c r="E21" s="64"/>
      <c r="F21" s="65">
        <f>'PPS Data'!D24/Calculator!$D$11</f>
        <v>3.5013788348845228E-2</v>
      </c>
      <c r="G21" s="66">
        <f>F21*Calculator!$D$13</f>
        <v>17.506894174422612</v>
      </c>
      <c r="H21" s="83"/>
      <c r="I21" s="67">
        <f>IF('PPS Data'!E24&gt;0,G21/'PPS Data'!E24,0)</f>
        <v>4.7397449155463629E-2</v>
      </c>
      <c r="J21" s="67">
        <f>I21*'PPS Data'!H24+I21</f>
        <v>4.7397449155463629E-2</v>
      </c>
      <c r="K21" s="68"/>
      <c r="L21" s="76">
        <f t="shared" si="1"/>
        <v>2.3698724577731815E-2</v>
      </c>
      <c r="M21" s="69">
        <f t="shared" si="2"/>
        <v>4.7397449155463629E-2</v>
      </c>
      <c r="N21" s="70">
        <f>'PPS Data'!G24</f>
        <v>1</v>
      </c>
      <c r="O21" s="69">
        <f>L21*N21</f>
        <v>2.3698724577731815E-2</v>
      </c>
      <c r="P21" s="68"/>
      <c r="Q21" s="69">
        <f t="shared" si="15"/>
        <v>2.3698724577731815E-2</v>
      </c>
      <c r="R21" s="81"/>
      <c r="S21" s="73"/>
      <c r="T21" s="74"/>
      <c r="U21" s="74"/>
      <c r="V21" s="83"/>
      <c r="W21" s="74"/>
      <c r="X21" s="74"/>
      <c r="Y21" s="74"/>
      <c r="Z21" s="4"/>
      <c r="AA21" s="74"/>
      <c r="AB21" s="74"/>
      <c r="AC21" s="83"/>
      <c r="AD21" s="74"/>
      <c r="AE21" s="74"/>
      <c r="AF21" s="74"/>
      <c r="AG21" s="3"/>
      <c r="AH21" s="3"/>
      <c r="AI21" s="121"/>
      <c r="AJ21" s="121"/>
      <c r="AK21" s="121"/>
      <c r="AL21" s="121"/>
      <c r="AM21" s="121"/>
      <c r="AN21" s="121"/>
      <c r="AO21" s="121"/>
      <c r="AP21" s="121"/>
      <c r="AQ21" s="121"/>
      <c r="AR21" s="121"/>
    </row>
    <row r="22" spans="2:44" x14ac:dyDescent="0.2">
      <c r="B22" s="3"/>
      <c r="C22" s="3"/>
      <c r="D22" s="82" t="s">
        <v>16</v>
      </c>
      <c r="E22" s="64"/>
      <c r="F22" s="65">
        <f>'PPS Data'!D25/Calculator!$D$11</f>
        <v>3.3815925542916236E-2</v>
      </c>
      <c r="G22" s="66">
        <f>F22*Calculator!$D$13</f>
        <v>16.907962771458116</v>
      </c>
      <c r="H22" s="83"/>
      <c r="I22" s="67">
        <f>IF('PPS Data'!E25&gt;0,G22/'PPS Data'!E25,0)</f>
        <v>1.2926577042399171E-2</v>
      </c>
      <c r="J22" s="67">
        <f>I22*'PPS Data'!H25+I22</f>
        <v>1.2926577042399171E-2</v>
      </c>
      <c r="K22" s="68"/>
      <c r="L22" s="76">
        <f t="shared" si="1"/>
        <v>6.4632885211995854E-3</v>
      </c>
      <c r="M22" s="69">
        <f t="shared" si="2"/>
        <v>1.2926577042399171E-2</v>
      </c>
      <c r="N22" s="70">
        <f>'PPS Data'!G25</f>
        <v>1</v>
      </c>
      <c r="O22" s="69">
        <f>L22*N22</f>
        <v>6.4632885211995854E-3</v>
      </c>
      <c r="P22" s="68"/>
      <c r="Q22" s="69">
        <f t="shared" si="15"/>
        <v>6.4632885211995854E-3</v>
      </c>
      <c r="R22" s="81"/>
      <c r="S22" s="73"/>
      <c r="T22" s="74"/>
      <c r="U22" s="74"/>
      <c r="V22" s="83"/>
      <c r="W22" s="74"/>
      <c r="X22" s="74"/>
      <c r="Y22" s="74"/>
      <c r="Z22" s="4"/>
      <c r="AA22" s="74"/>
      <c r="AB22" s="74"/>
      <c r="AC22" s="83"/>
      <c r="AD22" s="74"/>
      <c r="AE22" s="74"/>
      <c r="AF22" s="74"/>
      <c r="AG22" s="3"/>
      <c r="AH22" s="3"/>
      <c r="AI22" s="121"/>
      <c r="AJ22" s="121"/>
      <c r="AK22" s="121"/>
      <c r="AL22" s="121"/>
      <c r="AM22" s="121"/>
      <c r="AN22" s="121"/>
      <c r="AO22" s="121"/>
      <c r="AP22" s="121"/>
      <c r="AQ22" s="121"/>
      <c r="AR22" s="121"/>
    </row>
    <row r="23" spans="2:44" ht="13.5" thickBot="1" x14ac:dyDescent="0.25">
      <c r="B23" s="3"/>
      <c r="C23" s="3"/>
      <c r="D23" s="84" t="s">
        <v>17</v>
      </c>
      <c r="E23" s="64"/>
      <c r="F23" s="85">
        <f>'PPS Data'!D26/Calculator!$D$11</f>
        <v>6.913995174077904E-2</v>
      </c>
      <c r="G23" s="86">
        <f>F23*Calculator!$D$13</f>
        <v>34.56997587038952</v>
      </c>
      <c r="H23" s="83"/>
      <c r="I23" s="87">
        <f>IF('PPS Data'!E26&gt;0,G23/'PPS Data'!E26,0)</f>
        <v>7.7559462254395029E-2</v>
      </c>
      <c r="J23" s="88">
        <f>I23*'PPS Data'!H26+I23</f>
        <v>7.7559462254395029E-2</v>
      </c>
      <c r="K23" s="68"/>
      <c r="L23" s="87">
        <f t="shared" si="1"/>
        <v>3.8779731127197514E-2</v>
      </c>
      <c r="M23" s="89">
        <f t="shared" si="2"/>
        <v>7.7559462254395029E-2</v>
      </c>
      <c r="N23" s="90">
        <f>'PPS Data'!G26</f>
        <v>1</v>
      </c>
      <c r="O23" s="87">
        <f>SUM(L23*N23)/4</f>
        <v>9.6949327817993786E-3</v>
      </c>
      <c r="P23" s="68"/>
      <c r="Q23" s="87">
        <f t="shared" si="15"/>
        <v>9.6949327817993786E-3</v>
      </c>
      <c r="R23" s="77"/>
      <c r="S23" s="73"/>
      <c r="T23" s="91"/>
      <c r="U23" s="91"/>
      <c r="V23" s="83"/>
      <c r="W23" s="91"/>
      <c r="X23" s="91"/>
      <c r="Y23" s="91"/>
      <c r="Z23" s="4"/>
      <c r="AA23" s="91"/>
      <c r="AB23" s="91"/>
      <c r="AC23" s="83"/>
      <c r="AD23" s="91"/>
      <c r="AE23" s="91"/>
      <c r="AF23" s="91"/>
      <c r="AG23" s="3"/>
      <c r="AH23" s="3"/>
      <c r="AI23" s="121"/>
      <c r="AJ23" s="121"/>
      <c r="AK23" s="121"/>
      <c r="AL23" s="121"/>
      <c r="AM23" s="121"/>
      <c r="AN23" s="121"/>
      <c r="AO23" s="121"/>
      <c r="AP23" s="121"/>
      <c r="AQ23" s="121"/>
      <c r="AR23" s="121"/>
    </row>
    <row r="24" spans="2:44" x14ac:dyDescent="0.2">
      <c r="B24" s="3"/>
      <c r="C24" s="3"/>
      <c r="D24" s="63" t="s">
        <v>18</v>
      </c>
      <c r="E24" s="64"/>
      <c r="F24" s="65">
        <f>'PPS Data'!D27/Calculator!$D$11</f>
        <v>0.1692261289210617</v>
      </c>
      <c r="G24" s="66">
        <f>F24*Calculator!$D$13</f>
        <v>84.61306446053085</v>
      </c>
      <c r="H24" s="83"/>
      <c r="I24" s="67">
        <f>IF('PPS Data'!E27&gt;0,G24/'PPS Data'!E27,0)</f>
        <v>0</v>
      </c>
      <c r="J24" s="67">
        <f>I24*'PPS Data'!H27+I24</f>
        <v>0</v>
      </c>
      <c r="K24" s="68"/>
      <c r="L24" s="69">
        <f t="shared" si="1"/>
        <v>0</v>
      </c>
      <c r="M24" s="69">
        <f t="shared" si="2"/>
        <v>0</v>
      </c>
      <c r="N24" s="70">
        <f>'PPS Data'!G27</f>
        <v>1</v>
      </c>
      <c r="O24" s="69">
        <f>L24*N24</f>
        <v>0</v>
      </c>
      <c r="P24" s="68"/>
      <c r="Q24" s="69">
        <f>O24</f>
        <v>0</v>
      </c>
      <c r="R24" s="72">
        <f>ROUNDUP(Q24+Q25+Q26+Q27+Q28,0)</f>
        <v>0</v>
      </c>
      <c r="S24" s="73"/>
      <c r="T24" s="74">
        <v>110000</v>
      </c>
      <c r="U24" s="74">
        <f>SUM(Q24:Q28)*T24</f>
        <v>0</v>
      </c>
      <c r="V24" s="83"/>
      <c r="W24" s="74">
        <f>U24/100*4.6</f>
        <v>0</v>
      </c>
      <c r="X24" s="74">
        <f>U24/100*17.5</f>
        <v>0</v>
      </c>
      <c r="Y24" s="74">
        <f t="shared" ref="Y24" si="16">SUM(W24:X24)</f>
        <v>0</v>
      </c>
      <c r="Z24" s="4"/>
      <c r="AA24" s="74">
        <v>100000</v>
      </c>
      <c r="AB24" s="74">
        <f>R24*AA24</f>
        <v>0</v>
      </c>
      <c r="AC24" s="83"/>
      <c r="AD24" s="74">
        <f>AB24/100*4.6</f>
        <v>0</v>
      </c>
      <c r="AE24" s="74">
        <f>AB24/100*17.5</f>
        <v>0</v>
      </c>
      <c r="AF24" s="74">
        <f t="shared" si="9"/>
        <v>0</v>
      </c>
      <c r="AG24" s="3"/>
      <c r="AH24" s="3"/>
      <c r="AI24" s="121"/>
      <c r="AJ24" s="121"/>
      <c r="AK24" s="121"/>
      <c r="AL24" s="121"/>
      <c r="AM24" s="121"/>
      <c r="AN24" s="121"/>
      <c r="AO24" s="121"/>
      <c r="AP24" s="121"/>
      <c r="AQ24" s="121"/>
      <c r="AR24" s="121"/>
    </row>
    <row r="25" spans="2:44" x14ac:dyDescent="0.2">
      <c r="B25" s="3"/>
      <c r="C25" s="3"/>
      <c r="D25" s="75" t="s">
        <v>19</v>
      </c>
      <c r="E25" s="64"/>
      <c r="F25" s="65">
        <f>'PPS Data'!D28/Calculator!$D$11</f>
        <v>0.15899689762150981</v>
      </c>
      <c r="G25" s="66">
        <f>F25*Calculator!$D$13</f>
        <v>79.498448810754908</v>
      </c>
      <c r="H25" s="83"/>
      <c r="I25" s="67">
        <f>IF('PPS Data'!E28&gt;0,G25/'PPS Data'!E28,0)</f>
        <v>0</v>
      </c>
      <c r="J25" s="67">
        <f>I25*'PPS Data'!H28+I25</f>
        <v>0</v>
      </c>
      <c r="K25" s="68"/>
      <c r="L25" s="76">
        <f t="shared" si="1"/>
        <v>0</v>
      </c>
      <c r="M25" s="69">
        <f t="shared" si="2"/>
        <v>0</v>
      </c>
      <c r="N25" s="70">
        <f>'PPS Data'!G28</f>
        <v>1</v>
      </c>
      <c r="O25" s="69">
        <f>L25*N25</f>
        <v>0</v>
      </c>
      <c r="P25" s="68"/>
      <c r="Q25" s="69">
        <f t="shared" ref="Q25:Q28" si="17">O25</f>
        <v>0</v>
      </c>
      <c r="R25" s="81"/>
      <c r="S25" s="73"/>
      <c r="T25" s="74"/>
      <c r="U25" s="74"/>
      <c r="V25" s="83"/>
      <c r="W25" s="74"/>
      <c r="X25" s="74"/>
      <c r="Y25" s="74"/>
      <c r="Z25" s="4"/>
      <c r="AA25" s="74"/>
      <c r="AB25" s="74"/>
      <c r="AC25" s="83"/>
      <c r="AD25" s="74"/>
      <c r="AE25" s="74"/>
      <c r="AF25" s="74"/>
      <c r="AG25" s="3"/>
      <c r="AH25" s="3"/>
      <c r="AI25" s="121"/>
      <c r="AJ25" s="121"/>
      <c r="AK25" s="121"/>
      <c r="AL25" s="121"/>
      <c r="AM25" s="121"/>
      <c r="AN25" s="121"/>
      <c r="AO25" s="121"/>
      <c r="AP25" s="121"/>
      <c r="AQ25" s="121"/>
      <c r="AR25" s="121"/>
    </row>
    <row r="26" spans="2:44" x14ac:dyDescent="0.2">
      <c r="B26" s="3"/>
      <c r="C26" s="3"/>
      <c r="D26" s="75" t="s">
        <v>20</v>
      </c>
      <c r="E26" s="64"/>
      <c r="F26" s="65">
        <f>'PPS Data'!D29/Calculator!$D$11</f>
        <v>4.0649775939331265E-2</v>
      </c>
      <c r="G26" s="66">
        <f>F26*Calculator!$D$13</f>
        <v>20.324887969665632</v>
      </c>
      <c r="H26" s="83"/>
      <c r="I26" s="67">
        <f>IF('PPS Data'!E29&gt;0,G26/'PPS Data'!E29,0)</f>
        <v>0</v>
      </c>
      <c r="J26" s="67">
        <f>I26*'PPS Data'!H29+I26</f>
        <v>0</v>
      </c>
      <c r="K26" s="68"/>
      <c r="L26" s="76">
        <f t="shared" si="1"/>
        <v>0</v>
      </c>
      <c r="M26" s="69">
        <f t="shared" si="2"/>
        <v>0</v>
      </c>
      <c r="N26" s="70">
        <f>'PPS Data'!G29</f>
        <v>1</v>
      </c>
      <c r="O26" s="69">
        <f>L26*N26</f>
        <v>0</v>
      </c>
      <c r="P26" s="68"/>
      <c r="Q26" s="69">
        <f t="shared" si="17"/>
        <v>0</v>
      </c>
      <c r="R26" s="81"/>
      <c r="S26" s="73"/>
      <c r="T26" s="74"/>
      <c r="U26" s="74"/>
      <c r="V26" s="83"/>
      <c r="W26" s="74"/>
      <c r="X26" s="74"/>
      <c r="Y26" s="74"/>
      <c r="Z26" s="4"/>
      <c r="AA26" s="74"/>
      <c r="AB26" s="74"/>
      <c r="AC26" s="83"/>
      <c r="AD26" s="74"/>
      <c r="AE26" s="74"/>
      <c r="AF26" s="74"/>
      <c r="AG26" s="3"/>
      <c r="AH26" s="3"/>
      <c r="AI26" s="121"/>
      <c r="AJ26" s="121"/>
      <c r="AK26" s="121"/>
      <c r="AL26" s="121"/>
      <c r="AM26" s="121"/>
      <c r="AN26" s="121"/>
      <c r="AO26" s="121"/>
      <c r="AP26" s="121"/>
      <c r="AQ26" s="121"/>
      <c r="AR26" s="121"/>
    </row>
    <row r="27" spans="2:44" x14ac:dyDescent="0.2">
      <c r="B27" s="3"/>
      <c r="C27" s="3"/>
      <c r="D27" s="82" t="s">
        <v>21</v>
      </c>
      <c r="E27" s="64"/>
      <c r="F27" s="65">
        <f>'PPS Data'!D30/Calculator!$D$11</f>
        <v>3.9210617028610825E-2</v>
      </c>
      <c r="G27" s="66">
        <f>F27*Calculator!$D$13</f>
        <v>19.605308514305413</v>
      </c>
      <c r="H27" s="83"/>
      <c r="I27" s="67">
        <f>IF('PPS Data'!E30&gt;0,G27/'PPS Data'!E30,0)</f>
        <v>0</v>
      </c>
      <c r="J27" s="67">
        <f>I27*'PPS Data'!H30+I27</f>
        <v>0</v>
      </c>
      <c r="K27" s="68"/>
      <c r="L27" s="76">
        <f t="shared" si="1"/>
        <v>0</v>
      </c>
      <c r="M27" s="69">
        <f t="shared" si="2"/>
        <v>0</v>
      </c>
      <c r="N27" s="70">
        <f>'PPS Data'!G30</f>
        <v>1</v>
      </c>
      <c r="O27" s="69">
        <f>L27*N27</f>
        <v>0</v>
      </c>
      <c r="P27" s="68"/>
      <c r="Q27" s="69">
        <f t="shared" si="17"/>
        <v>0</v>
      </c>
      <c r="R27" s="81"/>
      <c r="S27" s="73"/>
      <c r="T27" s="74"/>
      <c r="U27" s="74"/>
      <c r="V27" s="83"/>
      <c r="W27" s="74"/>
      <c r="X27" s="74"/>
      <c r="Y27" s="74"/>
      <c r="Z27" s="4"/>
      <c r="AA27" s="74"/>
      <c r="AB27" s="74"/>
      <c r="AC27" s="83"/>
      <c r="AD27" s="74"/>
      <c r="AE27" s="74"/>
      <c r="AF27" s="74"/>
      <c r="AG27" s="3"/>
      <c r="AH27" s="3"/>
      <c r="AI27" s="121"/>
      <c r="AJ27" s="121"/>
      <c r="AK27" s="121"/>
      <c r="AL27" s="121"/>
      <c r="AM27" s="121"/>
      <c r="AN27" s="121"/>
      <c r="AO27" s="121"/>
      <c r="AP27" s="121"/>
      <c r="AQ27" s="121"/>
      <c r="AR27" s="121"/>
    </row>
    <row r="28" spans="2:44" ht="13.5" thickBot="1" x14ac:dyDescent="0.25">
      <c r="B28" s="3"/>
      <c r="C28" s="3"/>
      <c r="D28" s="84" t="s">
        <v>22</v>
      </c>
      <c r="E28" s="64"/>
      <c r="F28" s="85">
        <f>'PPS Data'!D31/Calculator!$D$11</f>
        <v>5.8109272664598415E-2</v>
      </c>
      <c r="G28" s="86">
        <f>F28*Calculator!$D$13</f>
        <v>29.054636332299207</v>
      </c>
      <c r="H28" s="83"/>
      <c r="I28" s="87">
        <f>IF('PPS Data'!E31&gt;0,G28/'PPS Data'!E31,0)</f>
        <v>0</v>
      </c>
      <c r="J28" s="88">
        <f>I28*'PPS Data'!H31+I28</f>
        <v>0</v>
      </c>
      <c r="K28" s="68"/>
      <c r="L28" s="87">
        <f t="shared" si="1"/>
        <v>0</v>
      </c>
      <c r="M28" s="89">
        <f t="shared" si="2"/>
        <v>0</v>
      </c>
      <c r="N28" s="90">
        <f>'PPS Data'!G31</f>
        <v>1</v>
      </c>
      <c r="O28" s="87">
        <f>SUM(L28*N28)/4</f>
        <v>0</v>
      </c>
      <c r="P28" s="68"/>
      <c r="Q28" s="94">
        <f t="shared" si="17"/>
        <v>0</v>
      </c>
      <c r="R28" s="95"/>
      <c r="S28" s="73"/>
      <c r="T28" s="91"/>
      <c r="U28" s="91"/>
      <c r="V28" s="83"/>
      <c r="W28" s="91"/>
      <c r="X28" s="91"/>
      <c r="Y28" s="91"/>
      <c r="Z28" s="4"/>
      <c r="AA28" s="91"/>
      <c r="AB28" s="91"/>
      <c r="AC28" s="83"/>
      <c r="AD28" s="91"/>
      <c r="AE28" s="91"/>
      <c r="AF28" s="91"/>
      <c r="AG28" s="3"/>
      <c r="AH28" s="3"/>
      <c r="AI28" s="121"/>
      <c r="AJ28" s="121"/>
      <c r="AK28" s="121"/>
      <c r="AL28" s="121"/>
      <c r="AM28" s="121"/>
      <c r="AN28" s="121"/>
      <c r="AO28" s="121"/>
      <c r="AP28" s="121"/>
      <c r="AQ28" s="121"/>
      <c r="AR28" s="121"/>
    </row>
    <row r="29" spans="2:44" x14ac:dyDescent="0.2">
      <c r="B29" s="3"/>
      <c r="C29" s="3"/>
      <c r="D29" s="63" t="s">
        <v>23</v>
      </c>
      <c r="E29" s="64"/>
      <c r="F29" s="65">
        <f>'PPS Data'!D32/Calculator!$D$11</f>
        <v>0.26033264391589106</v>
      </c>
      <c r="G29" s="66">
        <f>F29*Calculator!$D$13</f>
        <v>130.16632195794554</v>
      </c>
      <c r="H29" s="83"/>
      <c r="I29" s="67">
        <f>IF('PPS Data'!E32&gt;0,G29/'PPS Data'!E32,0)</f>
        <v>4.7397449155463629E-2</v>
      </c>
      <c r="J29" s="67">
        <f>I29*'PPS Data'!H32+I29</f>
        <v>4.7397449155463629E-2</v>
      </c>
      <c r="K29" s="68"/>
      <c r="L29" s="69">
        <f t="shared" si="1"/>
        <v>2.3698724577731815E-2</v>
      </c>
      <c r="M29" s="69">
        <f t="shared" si="2"/>
        <v>4.7397449155463629E-2</v>
      </c>
      <c r="N29" s="70">
        <f>'PPS Data'!G32</f>
        <v>1</v>
      </c>
      <c r="O29" s="69">
        <f>L29*N29</f>
        <v>2.3698724577731815E-2</v>
      </c>
      <c r="P29" s="96"/>
      <c r="Q29" s="69">
        <f>O29</f>
        <v>2.3698724577731815E-2</v>
      </c>
      <c r="R29" s="97">
        <f>ROUNDUP(Q29+Q30+Q31+Q32/4,0)</f>
        <v>1</v>
      </c>
      <c r="S29" s="73"/>
      <c r="T29" s="78">
        <v>800000</v>
      </c>
      <c r="U29" s="78">
        <f>SUM(Q29:Q32)/4*T29</f>
        <v>12495.691140985866</v>
      </c>
      <c r="V29" s="83"/>
      <c r="W29" s="98">
        <f>U29/100*2.6</f>
        <v>324.88796966563251</v>
      </c>
      <c r="X29" s="98">
        <f>U29/100*0.5</f>
        <v>62.478455704929331</v>
      </c>
      <c r="Y29" s="98">
        <f>SUM(W29:X29)</f>
        <v>387.36642537056184</v>
      </c>
      <c r="Z29" s="4"/>
      <c r="AA29" s="78">
        <v>760000</v>
      </c>
      <c r="AB29" s="78">
        <f>R29*AA29</f>
        <v>760000</v>
      </c>
      <c r="AC29" s="83"/>
      <c r="AD29" s="99">
        <f>AB29/100*2.6</f>
        <v>19760</v>
      </c>
      <c r="AE29" s="99">
        <f>AB29/100*0.5</f>
        <v>3800</v>
      </c>
      <c r="AF29" s="99">
        <f>SUM(AD29:AE29)</f>
        <v>23560</v>
      </c>
      <c r="AG29" s="3"/>
      <c r="AH29" s="3"/>
      <c r="AI29" s="121"/>
      <c r="AJ29" s="121"/>
      <c r="AK29" s="121"/>
      <c r="AL29" s="121"/>
      <c r="AM29" s="121"/>
      <c r="AN29" s="121"/>
      <c r="AO29" s="121"/>
      <c r="AP29" s="121"/>
      <c r="AQ29" s="121"/>
      <c r="AR29" s="121"/>
    </row>
    <row r="30" spans="2:44" x14ac:dyDescent="0.2">
      <c r="B30" s="3"/>
      <c r="C30" s="3"/>
      <c r="D30" s="75" t="s">
        <v>24</v>
      </c>
      <c r="E30" s="64"/>
      <c r="F30" s="65">
        <f>'PPS Data'!D33/Calculator!$D$11</f>
        <v>0.2493881420199931</v>
      </c>
      <c r="G30" s="66">
        <f>F30*Calculator!$D$13</f>
        <v>124.69407100999655</v>
      </c>
      <c r="H30" s="83"/>
      <c r="I30" s="67">
        <f>IF('PPS Data'!E33&gt;0,G30/'PPS Data'!E33,0)</f>
        <v>4.3088590141330575E-2</v>
      </c>
      <c r="J30" s="67">
        <f>I30*'PPS Data'!H33+I30</f>
        <v>4.3088590141330575E-2</v>
      </c>
      <c r="K30" s="68"/>
      <c r="L30" s="76">
        <f t="shared" si="1"/>
        <v>2.1544295070665288E-2</v>
      </c>
      <c r="M30" s="69">
        <f t="shared" si="2"/>
        <v>4.3088590141330575E-2</v>
      </c>
      <c r="N30" s="70">
        <f>'PPS Data'!G33</f>
        <v>1</v>
      </c>
      <c r="O30" s="69">
        <f>L30*N30</f>
        <v>2.1544295070665288E-2</v>
      </c>
      <c r="P30" s="96"/>
      <c r="Q30" s="69">
        <f t="shared" ref="Q30:Q32" si="18">O30</f>
        <v>2.1544295070665288E-2</v>
      </c>
      <c r="R30" s="100"/>
      <c r="S30" s="100"/>
      <c r="T30" s="101"/>
      <c r="U30" s="102"/>
      <c r="V30" s="3"/>
      <c r="W30" s="4"/>
      <c r="X30" s="4"/>
      <c r="Y30" s="4"/>
      <c r="Z30" s="4"/>
      <c r="AA30" s="101"/>
      <c r="AB30" s="102"/>
      <c r="AC30" s="3"/>
      <c r="AD30" s="4"/>
      <c r="AE30" s="4"/>
      <c r="AF30" s="4"/>
      <c r="AG30" s="3"/>
      <c r="AH30" s="3"/>
      <c r="AI30" s="121"/>
      <c r="AJ30" s="121"/>
      <c r="AK30" s="121"/>
      <c r="AL30" s="121"/>
      <c r="AM30" s="121"/>
      <c r="AN30" s="121"/>
      <c r="AO30" s="121"/>
      <c r="AP30" s="121"/>
      <c r="AQ30" s="121"/>
      <c r="AR30" s="121"/>
    </row>
    <row r="31" spans="2:44" x14ac:dyDescent="0.2">
      <c r="B31" s="3"/>
      <c r="C31" s="3"/>
      <c r="D31" s="82" t="s">
        <v>25</v>
      </c>
      <c r="E31" s="64"/>
      <c r="F31" s="65">
        <f>'PPS Data'!D34/Calculator!$D$11</f>
        <v>2.9024474319200275E-2</v>
      </c>
      <c r="G31" s="66">
        <f>F31*Calculator!$D$13</f>
        <v>14.512237159600138</v>
      </c>
      <c r="H31" s="83"/>
      <c r="I31" s="67">
        <f>IF('PPS Data'!E34&gt;0,G31/'PPS Data'!E34,0)</f>
        <v>1.723543605653223E-2</v>
      </c>
      <c r="J31" s="67">
        <f>I31*'PPS Data'!H34+I31</f>
        <v>1.723543605653223E-2</v>
      </c>
      <c r="K31" s="68"/>
      <c r="L31" s="76">
        <f t="shared" si="1"/>
        <v>8.617718028266115E-3</v>
      </c>
      <c r="M31" s="69">
        <f t="shared" si="2"/>
        <v>1.723543605653223E-2</v>
      </c>
      <c r="N31" s="70">
        <f>'PPS Data'!G34</f>
        <v>1</v>
      </c>
      <c r="O31" s="69">
        <f>L31*N31</f>
        <v>8.617718028266115E-3</v>
      </c>
      <c r="P31" s="96"/>
      <c r="Q31" s="69">
        <f t="shared" si="18"/>
        <v>8.617718028266115E-3</v>
      </c>
      <c r="R31" s="100"/>
      <c r="S31" s="100"/>
      <c r="T31" s="103"/>
      <c r="U31" s="4"/>
      <c r="V31" s="3"/>
      <c r="W31" s="4"/>
      <c r="X31" s="4"/>
      <c r="Y31" s="4"/>
      <c r="Z31" s="4"/>
      <c r="AA31" s="103"/>
      <c r="AB31" s="4"/>
      <c r="AC31" s="3"/>
      <c r="AD31" s="4"/>
      <c r="AE31" s="4"/>
      <c r="AF31" s="4"/>
      <c r="AG31" s="3"/>
      <c r="AH31" s="3"/>
      <c r="AI31" s="121"/>
      <c r="AJ31" s="121"/>
      <c r="AK31" s="121"/>
      <c r="AL31" s="121"/>
      <c r="AM31" s="121"/>
      <c r="AN31" s="121"/>
      <c r="AO31" s="121"/>
      <c r="AP31" s="121"/>
      <c r="AQ31" s="121"/>
      <c r="AR31" s="121"/>
    </row>
    <row r="32" spans="2:44" ht="13.5" thickBot="1" x14ac:dyDescent="0.25">
      <c r="B32" s="3"/>
      <c r="C32" s="3"/>
      <c r="D32" s="84" t="s">
        <v>26</v>
      </c>
      <c r="E32" s="64"/>
      <c r="F32" s="85">
        <f>'PPS Data'!D35/Calculator!$D$11</f>
        <v>2.7800758359186488E-2</v>
      </c>
      <c r="G32" s="86">
        <f>F32*Calculator!$D$13</f>
        <v>13.900379179593244</v>
      </c>
      <c r="H32" s="83"/>
      <c r="I32" s="87">
        <f>IF('PPS Data'!E35&gt;0,G32/'PPS Data'!E35,0)</f>
        <v>1.723543605653223E-2</v>
      </c>
      <c r="J32" s="88">
        <f>I32*'PPS Data'!H35+I32</f>
        <v>1.723543605653223E-2</v>
      </c>
      <c r="K32" s="68"/>
      <c r="L32" s="87">
        <f t="shared" si="1"/>
        <v>8.617718028266115E-3</v>
      </c>
      <c r="M32" s="89">
        <f t="shared" si="2"/>
        <v>1.723543605653223E-2</v>
      </c>
      <c r="N32" s="90">
        <f>'PPS Data'!G35</f>
        <v>1</v>
      </c>
      <c r="O32" s="87">
        <f>L32*N32</f>
        <v>8.617718028266115E-3</v>
      </c>
      <c r="P32" s="96"/>
      <c r="Q32" s="104">
        <f t="shared" si="18"/>
        <v>8.617718028266115E-3</v>
      </c>
      <c r="R32" s="100"/>
      <c r="S32" s="100"/>
      <c r="T32" s="105"/>
      <c r="U32" s="106"/>
      <c r="V32" s="3"/>
      <c r="W32" s="4"/>
      <c r="X32" s="4"/>
      <c r="Y32" s="4"/>
      <c r="Z32" s="4"/>
      <c r="AA32" s="105"/>
      <c r="AB32" s="106"/>
      <c r="AC32" s="3"/>
      <c r="AD32" s="4"/>
      <c r="AE32" s="4"/>
      <c r="AF32" s="4"/>
      <c r="AG32" s="3"/>
      <c r="AH32" s="3"/>
      <c r="AI32" s="121"/>
      <c r="AJ32" s="121"/>
      <c r="AK32" s="121"/>
      <c r="AL32" s="121"/>
      <c r="AM32" s="121"/>
      <c r="AN32" s="121"/>
      <c r="AO32" s="121"/>
      <c r="AP32" s="121"/>
      <c r="AQ32" s="121"/>
      <c r="AR32" s="121"/>
    </row>
    <row r="33" spans="2:49" x14ac:dyDescent="0.2">
      <c r="B33" s="3"/>
      <c r="C33" s="3"/>
      <c r="D33" s="3"/>
      <c r="E33" s="3"/>
      <c r="F33" s="3"/>
      <c r="G33" s="3"/>
      <c r="H33" s="3"/>
      <c r="I33" s="3"/>
      <c r="J33" s="3"/>
      <c r="K33" s="3"/>
      <c r="L33" s="3"/>
      <c r="M33" s="6"/>
      <c r="N33" s="107" t="s">
        <v>30</v>
      </c>
      <c r="O33" s="108">
        <f>SUM(O7:O32)</f>
        <v>3.3856859703550506</v>
      </c>
      <c r="P33" s="100"/>
      <c r="Q33" s="109">
        <f>SUM(Q7:Q28)+(SUM(Q29:Q32)/4)</f>
        <v>0.53991542325306541</v>
      </c>
      <c r="R33" s="110">
        <f>SUM(R7:R29)</f>
        <v>6</v>
      </c>
      <c r="S33" s="73"/>
      <c r="T33" s="111" t="s">
        <v>30</v>
      </c>
      <c r="U33" s="78">
        <f>SUM(U7:U32)</f>
        <v>65089.162604028163</v>
      </c>
      <c r="V33" s="3"/>
      <c r="W33" s="112">
        <f>SUM(W7:W32)</f>
        <v>2685.4371337469838</v>
      </c>
      <c r="X33" s="112">
        <f>SUM(X7:X32)</f>
        <v>8646.4865871374404</v>
      </c>
      <c r="Y33" s="99">
        <f>SUM(Y7:Y32)</f>
        <v>11331.923720884422</v>
      </c>
      <c r="Z33" s="4"/>
      <c r="AA33" s="111" t="s">
        <v>30</v>
      </c>
      <c r="AB33" s="78">
        <f>SUM(AB7:AB32)</f>
        <v>1315000</v>
      </c>
      <c r="AC33" s="3"/>
      <c r="AD33" s="112">
        <f>SUM(AD7:AD32)</f>
        <v>45490</v>
      </c>
      <c r="AE33" s="112">
        <f>SUM(AE7:AE32)</f>
        <v>93045</v>
      </c>
      <c r="AF33" s="99">
        <f>SUM(AF7:AF32)</f>
        <v>138535</v>
      </c>
      <c r="AG33" s="3"/>
      <c r="AH33" s="3"/>
      <c r="AI33" s="121"/>
      <c r="AJ33" s="121"/>
      <c r="AK33" s="121"/>
      <c r="AL33" s="121"/>
      <c r="AM33" s="121"/>
      <c r="AN33" s="121"/>
      <c r="AO33" s="121"/>
      <c r="AP33" s="121"/>
      <c r="AQ33" s="121"/>
      <c r="AR33" s="121"/>
    </row>
    <row r="34" spans="2:49" ht="21" customHeight="1" x14ac:dyDescent="0.2">
      <c r="B34" s="3"/>
      <c r="C34" s="3"/>
      <c r="D34" s="3"/>
      <c r="E34" s="3"/>
      <c r="F34" s="3"/>
      <c r="G34" s="3"/>
      <c r="H34" s="3"/>
      <c r="I34" s="3"/>
      <c r="J34" s="3"/>
      <c r="K34" s="3"/>
      <c r="L34" s="3"/>
      <c r="M34" s="6"/>
      <c r="N34" s="113"/>
      <c r="O34" s="100"/>
      <c r="P34" s="100"/>
      <c r="Q34" s="100"/>
      <c r="R34" s="73"/>
      <c r="S34" s="73"/>
      <c r="T34" s="229" t="s">
        <v>570</v>
      </c>
      <c r="U34" s="229"/>
      <c r="V34" s="229"/>
      <c r="W34" s="229"/>
      <c r="X34" s="229"/>
      <c r="Y34" s="229"/>
      <c r="Z34" s="4"/>
      <c r="AA34" s="113"/>
      <c r="AB34" s="4"/>
      <c r="AC34" s="3"/>
      <c r="AD34" s="114"/>
      <c r="AE34" s="114"/>
      <c r="AF34" s="4"/>
      <c r="AG34" s="3"/>
      <c r="AH34" s="3"/>
      <c r="AI34" s="121"/>
      <c r="AJ34" s="121"/>
      <c r="AK34" s="121"/>
      <c r="AL34" s="121"/>
      <c r="AM34" s="121"/>
      <c r="AN34" s="121"/>
      <c r="AO34" s="121"/>
      <c r="AP34" s="121"/>
      <c r="AQ34" s="121"/>
      <c r="AR34" s="121"/>
    </row>
    <row r="35" spans="2:49" ht="42.75" customHeight="1" x14ac:dyDescent="0.2">
      <c r="B35" s="3"/>
      <c r="C35" s="3"/>
      <c r="D35" s="3"/>
      <c r="E35" s="3"/>
      <c r="F35" s="3"/>
      <c r="G35" s="3"/>
      <c r="H35" s="3"/>
      <c r="I35" s="3"/>
      <c r="J35" s="3"/>
      <c r="K35" s="3"/>
      <c r="L35" s="3"/>
      <c r="M35" s="6"/>
      <c r="N35" s="3"/>
      <c r="O35" s="6"/>
      <c r="P35" s="6"/>
      <c r="Q35" s="3"/>
      <c r="R35" s="3"/>
      <c r="S35" s="3"/>
      <c r="T35" s="228" t="s">
        <v>558</v>
      </c>
      <c r="U35" s="228"/>
      <c r="V35" s="228"/>
      <c r="W35" s="228"/>
      <c r="X35" s="228"/>
      <c r="Y35" s="228"/>
      <c r="Z35" s="3"/>
      <c r="AA35" s="3"/>
      <c r="AB35" s="3"/>
      <c r="AC35" s="3"/>
      <c r="AD35" s="3"/>
      <c r="AE35" s="3"/>
      <c r="AF35" s="3"/>
      <c r="AG35" s="3"/>
      <c r="AH35" s="3"/>
      <c r="AI35" s="121"/>
      <c r="AJ35" s="121"/>
      <c r="AK35" s="121"/>
      <c r="AL35" s="121"/>
      <c r="AM35" s="121"/>
      <c r="AN35" s="121"/>
      <c r="AO35" s="121"/>
      <c r="AP35" s="121"/>
      <c r="AQ35" s="121"/>
      <c r="AR35" s="121"/>
    </row>
    <row r="36" spans="2:49" ht="31.5" customHeight="1" x14ac:dyDescent="0.2">
      <c r="B36" s="3"/>
      <c r="C36" s="3"/>
      <c r="D36" s="3"/>
      <c r="E36" s="3"/>
      <c r="F36" s="3"/>
      <c r="G36" s="3"/>
      <c r="H36" s="3"/>
      <c r="I36" s="3"/>
      <c r="J36" s="3"/>
      <c r="K36" s="3"/>
      <c r="L36" s="3"/>
      <c r="M36" s="6"/>
      <c r="N36" s="3"/>
      <c r="O36" s="6"/>
      <c r="P36" s="6"/>
      <c r="Q36" s="3"/>
      <c r="R36" s="3"/>
      <c r="S36" s="3"/>
      <c r="T36" s="225" t="s">
        <v>492</v>
      </c>
      <c r="U36" s="213"/>
      <c r="V36" s="213"/>
      <c r="W36" s="213"/>
      <c r="X36" s="213"/>
      <c r="Y36" s="213"/>
      <c r="Z36" s="3"/>
      <c r="AA36" s="3"/>
      <c r="AB36" s="3"/>
      <c r="AC36" s="3"/>
      <c r="AD36" s="3"/>
      <c r="AE36" s="3"/>
      <c r="AF36" s="3"/>
      <c r="AG36" s="3"/>
      <c r="AH36" s="3"/>
      <c r="AI36" s="121"/>
      <c r="AJ36" s="121"/>
      <c r="AK36" s="121"/>
      <c r="AL36" s="121"/>
      <c r="AM36" s="121"/>
      <c r="AN36" s="121"/>
      <c r="AO36" s="121"/>
      <c r="AP36" s="121"/>
      <c r="AQ36" s="121"/>
      <c r="AR36" s="121"/>
    </row>
    <row r="37" spans="2:49" x14ac:dyDescent="0.2">
      <c r="B37" s="3"/>
      <c r="C37" s="3"/>
      <c r="D37" s="3"/>
      <c r="E37" s="3"/>
      <c r="F37" s="3"/>
      <c r="G37" s="3"/>
      <c r="H37" s="3"/>
      <c r="I37" s="3"/>
      <c r="J37" s="3"/>
      <c r="K37" s="3"/>
      <c r="L37" s="3"/>
      <c r="M37" s="6"/>
      <c r="N37" s="3"/>
      <c r="O37" s="122"/>
      <c r="P37" s="122"/>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row>
    <row r="38" spans="2:49" ht="21.75" customHeight="1" x14ac:dyDescent="0.2">
      <c r="B38" s="3"/>
      <c r="C38" s="3"/>
      <c r="D38" s="130" t="s">
        <v>469</v>
      </c>
      <c r="E38" s="3"/>
      <c r="F38" s="3"/>
      <c r="G38" s="3"/>
      <c r="H38" s="3"/>
      <c r="I38" s="3"/>
      <c r="J38" s="3"/>
      <c r="K38" s="3"/>
      <c r="L38" s="3"/>
      <c r="M38" s="6"/>
      <c r="N38" s="3"/>
      <c r="O38" s="122"/>
      <c r="P38" s="122"/>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row>
    <row r="39" spans="2:49" x14ac:dyDescent="0.2">
      <c r="B39" s="3"/>
      <c r="C39" s="3"/>
      <c r="D39" s="115" t="s">
        <v>372</v>
      </c>
      <c r="E39" s="115"/>
      <c r="F39" s="115" t="s">
        <v>373</v>
      </c>
      <c r="G39" s="115" t="s">
        <v>470</v>
      </c>
      <c r="H39" s="3"/>
      <c r="I39" s="3"/>
      <c r="J39" s="116" t="s">
        <v>456</v>
      </c>
      <c r="K39" s="116"/>
      <c r="L39" s="117"/>
      <c r="M39" s="6"/>
      <c r="N39" s="129"/>
      <c r="O39" s="122"/>
      <c r="P39" s="122"/>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row>
    <row r="40" spans="2:49" x14ac:dyDescent="0.2">
      <c r="B40" s="3"/>
      <c r="C40" s="3"/>
      <c r="D40" s="118" t="s">
        <v>36</v>
      </c>
      <c r="E40" s="118"/>
      <c r="F40" s="118" t="s">
        <v>454</v>
      </c>
      <c r="G40" s="118">
        <f>LOOKUP(F40,$J$41:$J$121,$L$41:$L$121)</f>
        <v>1.1299999999999999</v>
      </c>
      <c r="H40" s="15"/>
      <c r="I40" s="15"/>
      <c r="J40" s="119" t="s">
        <v>373</v>
      </c>
      <c r="K40" s="119"/>
      <c r="L40" s="154" t="s">
        <v>572</v>
      </c>
      <c r="M40" s="6"/>
      <c r="N40" s="3"/>
      <c r="O40" s="122"/>
      <c r="P40" s="122"/>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row>
    <row r="41" spans="2:49" x14ac:dyDescent="0.2">
      <c r="B41" s="3"/>
      <c r="C41" s="3"/>
      <c r="D41" s="118" t="s">
        <v>37</v>
      </c>
      <c r="E41" s="118"/>
      <c r="F41" s="118" t="s">
        <v>387</v>
      </c>
      <c r="G41" s="118">
        <f t="shared" ref="G41:G104" si="19">LOOKUP(F41,$J$41:$J$121,$L$41:$L$121)</f>
        <v>1.04</v>
      </c>
      <c r="H41" s="15"/>
      <c r="I41" s="15"/>
      <c r="J41" s="120" t="s">
        <v>380</v>
      </c>
      <c r="K41" s="120"/>
      <c r="L41" s="152">
        <v>0.98</v>
      </c>
      <c r="M41" s="6"/>
      <c r="N41" s="3"/>
      <c r="O41" s="122"/>
      <c r="P41" s="122"/>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row>
    <row r="42" spans="2:49" x14ac:dyDescent="0.2">
      <c r="B42" s="3"/>
      <c r="C42" s="3"/>
      <c r="D42" s="118" t="s">
        <v>38</v>
      </c>
      <c r="E42" s="118"/>
      <c r="F42" s="118" t="s">
        <v>388</v>
      </c>
      <c r="G42" s="118">
        <f t="shared" si="19"/>
        <v>1.04</v>
      </c>
      <c r="H42" s="15"/>
      <c r="I42" s="15"/>
      <c r="J42" s="120" t="s">
        <v>381</v>
      </c>
      <c r="K42" s="120"/>
      <c r="L42" s="152">
        <v>1.04</v>
      </c>
      <c r="M42" s="6"/>
      <c r="N42" s="3"/>
      <c r="O42" s="122"/>
      <c r="P42" s="122"/>
      <c r="Q42" s="121"/>
      <c r="R42" s="121"/>
      <c r="S42" s="121"/>
      <c r="T42" s="126"/>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row>
    <row r="43" spans="2:49" x14ac:dyDescent="0.2">
      <c r="B43" s="3"/>
      <c r="C43" s="3"/>
      <c r="D43" s="118" t="s">
        <v>39</v>
      </c>
      <c r="E43" s="118"/>
      <c r="F43" s="118" t="s">
        <v>454</v>
      </c>
      <c r="G43" s="118">
        <f t="shared" si="19"/>
        <v>1.1299999999999999</v>
      </c>
      <c r="H43" s="15"/>
      <c r="I43" s="15"/>
      <c r="J43" s="120" t="s">
        <v>382</v>
      </c>
      <c r="K43" s="120"/>
      <c r="L43" s="152">
        <v>1.1299999999999999</v>
      </c>
      <c r="M43" s="6"/>
      <c r="N43" s="3"/>
      <c r="O43" s="122"/>
      <c r="P43" s="122"/>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row>
    <row r="44" spans="2:49" x14ac:dyDescent="0.2">
      <c r="B44" s="3"/>
      <c r="C44" s="3"/>
      <c r="D44" s="118" t="s">
        <v>40</v>
      </c>
      <c r="E44" s="118"/>
      <c r="F44" s="118" t="s">
        <v>442</v>
      </c>
      <c r="G44" s="118">
        <f t="shared" si="19"/>
        <v>1.02</v>
      </c>
      <c r="H44" s="15"/>
      <c r="I44" s="15"/>
      <c r="J44" s="120" t="s">
        <v>383</v>
      </c>
      <c r="K44" s="120"/>
      <c r="L44" s="152">
        <v>1.1100000000000001</v>
      </c>
      <c r="M44" s="6"/>
      <c r="N44" s="3"/>
      <c r="O44" s="122"/>
      <c r="P44" s="122"/>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row>
    <row r="45" spans="2:49" x14ac:dyDescent="0.2">
      <c r="B45" s="3"/>
      <c r="C45" s="3"/>
      <c r="D45" s="118" t="s">
        <v>41</v>
      </c>
      <c r="E45" s="118"/>
      <c r="F45" s="118" t="s">
        <v>401</v>
      </c>
      <c r="G45" s="118">
        <f t="shared" si="19"/>
        <v>1.1399999999999999</v>
      </c>
      <c r="H45" s="15"/>
      <c r="I45" s="15"/>
      <c r="J45" s="120" t="s">
        <v>384</v>
      </c>
      <c r="K45" s="120"/>
      <c r="L45" s="152">
        <v>1</v>
      </c>
      <c r="M45" s="6"/>
      <c r="N45" s="3"/>
      <c r="O45" s="122"/>
      <c r="P45" s="122"/>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row>
    <row r="46" spans="2:49" x14ac:dyDescent="0.2">
      <c r="B46" s="3"/>
      <c r="C46" s="3"/>
      <c r="D46" s="118" t="s">
        <v>42</v>
      </c>
      <c r="E46" s="118"/>
      <c r="F46" s="118" t="s">
        <v>383</v>
      </c>
      <c r="G46" s="118">
        <f t="shared" si="19"/>
        <v>1.1100000000000001</v>
      </c>
      <c r="H46" s="15"/>
      <c r="I46" s="15"/>
      <c r="J46" s="120" t="s">
        <v>385</v>
      </c>
      <c r="K46" s="120"/>
      <c r="L46" s="152">
        <v>1.03</v>
      </c>
      <c r="M46" s="6"/>
      <c r="N46" s="3"/>
      <c r="O46" s="122"/>
      <c r="P46" s="122"/>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row>
    <row r="47" spans="2:49" x14ac:dyDescent="0.2">
      <c r="B47" s="3"/>
      <c r="C47" s="3"/>
      <c r="D47" s="118" t="s">
        <v>43</v>
      </c>
      <c r="E47" s="118"/>
      <c r="F47" s="118" t="s">
        <v>448</v>
      </c>
      <c r="G47" s="118">
        <f t="shared" si="19"/>
        <v>0.98</v>
      </c>
      <c r="H47" s="15"/>
      <c r="I47" s="15"/>
      <c r="J47" s="120" t="s">
        <v>97</v>
      </c>
      <c r="K47" s="120"/>
      <c r="L47" s="152">
        <v>1.2</v>
      </c>
      <c r="M47" s="6"/>
      <c r="N47" s="3"/>
      <c r="O47" s="122"/>
      <c r="P47" s="122"/>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row>
    <row r="48" spans="2:49" x14ac:dyDescent="0.2">
      <c r="B48" s="3"/>
      <c r="C48" s="3"/>
      <c r="D48" s="118" t="s">
        <v>44</v>
      </c>
      <c r="E48" s="118"/>
      <c r="F48" s="118" t="s">
        <v>403</v>
      </c>
      <c r="G48" s="118">
        <f t="shared" si="19"/>
        <v>1.1399999999999999</v>
      </c>
      <c r="H48" s="15"/>
      <c r="I48" s="15"/>
      <c r="J48" s="120" t="s">
        <v>98</v>
      </c>
      <c r="K48" s="120"/>
      <c r="L48" s="152">
        <v>1.27</v>
      </c>
      <c r="M48" s="6"/>
      <c r="N48" s="3"/>
      <c r="O48" s="122"/>
      <c r="P48" s="122"/>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row>
    <row r="49" spans="2:49" x14ac:dyDescent="0.2">
      <c r="B49" s="3"/>
      <c r="C49" s="3"/>
      <c r="D49" s="118" t="s">
        <v>45</v>
      </c>
      <c r="E49" s="118"/>
      <c r="F49" s="118" t="s">
        <v>404</v>
      </c>
      <c r="G49" s="118">
        <f t="shared" si="19"/>
        <v>1.18</v>
      </c>
      <c r="H49" s="15"/>
      <c r="I49" s="15"/>
      <c r="J49" s="120" t="s">
        <v>386</v>
      </c>
      <c r="K49" s="120"/>
      <c r="L49" s="152">
        <v>0.97</v>
      </c>
      <c r="M49" s="6"/>
      <c r="N49" s="3"/>
      <c r="O49" s="122"/>
      <c r="P49" s="122"/>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row>
    <row r="50" spans="2:49" x14ac:dyDescent="0.2">
      <c r="B50" s="3"/>
      <c r="C50" s="3"/>
      <c r="D50" s="118" t="s">
        <v>46</v>
      </c>
      <c r="E50" s="118"/>
      <c r="F50" s="118" t="s">
        <v>446</v>
      </c>
      <c r="G50" s="118">
        <f t="shared" si="19"/>
        <v>0.9</v>
      </c>
      <c r="H50" s="15"/>
      <c r="I50" s="15"/>
      <c r="J50" s="120" t="s">
        <v>102</v>
      </c>
      <c r="K50" s="120"/>
      <c r="L50" s="152">
        <v>1</v>
      </c>
      <c r="M50" s="6"/>
      <c r="N50" s="3"/>
      <c r="O50" s="122"/>
      <c r="P50" s="122"/>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row>
    <row r="51" spans="2:49" x14ac:dyDescent="0.2">
      <c r="B51" s="3"/>
      <c r="C51" s="3"/>
      <c r="D51" s="118" t="s">
        <v>47</v>
      </c>
      <c r="E51" s="118"/>
      <c r="F51" s="118" t="s">
        <v>387</v>
      </c>
      <c r="G51" s="118">
        <f t="shared" si="19"/>
        <v>1.04</v>
      </c>
      <c r="H51" s="15"/>
      <c r="I51" s="15"/>
      <c r="J51" s="120" t="s">
        <v>387</v>
      </c>
      <c r="K51" s="120"/>
      <c r="L51" s="152">
        <v>1.04</v>
      </c>
      <c r="M51" s="6"/>
      <c r="N51" s="3"/>
      <c r="O51" s="122"/>
      <c r="P51" s="122"/>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row>
    <row r="52" spans="2:49" x14ac:dyDescent="0.2">
      <c r="B52" s="3"/>
      <c r="C52" s="3"/>
      <c r="D52" s="118" t="s">
        <v>48</v>
      </c>
      <c r="E52" s="118"/>
      <c r="F52" s="118" t="s">
        <v>394</v>
      </c>
      <c r="G52" s="118">
        <f t="shared" si="19"/>
        <v>1.04</v>
      </c>
      <c r="H52" s="15"/>
      <c r="I52" s="15"/>
      <c r="J52" s="120" t="s">
        <v>388</v>
      </c>
      <c r="K52" s="120"/>
      <c r="L52" s="152">
        <v>1.04</v>
      </c>
      <c r="M52" s="6"/>
      <c r="N52" s="3"/>
      <c r="O52" s="122"/>
      <c r="P52" s="122"/>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row>
    <row r="53" spans="2:49" x14ac:dyDescent="0.2">
      <c r="B53" s="3"/>
      <c r="C53" s="3"/>
      <c r="D53" s="118" t="s">
        <v>49</v>
      </c>
      <c r="E53" s="118"/>
      <c r="F53" s="118" t="s">
        <v>397</v>
      </c>
      <c r="G53" s="118">
        <f t="shared" si="19"/>
        <v>1.1000000000000001</v>
      </c>
      <c r="H53" s="15"/>
      <c r="I53" s="15"/>
      <c r="J53" s="120" t="s">
        <v>389</v>
      </c>
      <c r="K53" s="120"/>
      <c r="L53" s="152">
        <v>0.97</v>
      </c>
      <c r="M53" s="6"/>
      <c r="N53" s="3"/>
      <c r="O53" s="122"/>
      <c r="P53" s="122"/>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row>
    <row r="54" spans="2:49" x14ac:dyDescent="0.2">
      <c r="B54" s="3"/>
      <c r="C54" s="3"/>
      <c r="D54" s="118" t="s">
        <v>50</v>
      </c>
      <c r="E54" s="118"/>
      <c r="F54" s="118" t="s">
        <v>442</v>
      </c>
      <c r="G54" s="118">
        <f t="shared" si="19"/>
        <v>1.02</v>
      </c>
      <c r="H54" s="15"/>
      <c r="I54" s="15"/>
      <c r="J54" s="120" t="s">
        <v>390</v>
      </c>
      <c r="K54" s="120"/>
      <c r="L54" s="152">
        <v>1</v>
      </c>
      <c r="M54" s="6"/>
      <c r="N54" s="3"/>
      <c r="O54" s="122"/>
      <c r="P54" s="122"/>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row>
    <row r="55" spans="2:49" x14ac:dyDescent="0.2">
      <c r="B55" s="3"/>
      <c r="C55" s="3"/>
      <c r="D55" s="118" t="s">
        <v>51</v>
      </c>
      <c r="E55" s="118"/>
      <c r="F55" s="118" t="s">
        <v>445</v>
      </c>
      <c r="G55" s="118">
        <f t="shared" si="19"/>
        <v>0.96</v>
      </c>
      <c r="H55" s="15"/>
      <c r="I55" s="15"/>
      <c r="J55" s="120" t="s">
        <v>391</v>
      </c>
      <c r="K55" s="120"/>
      <c r="L55" s="152">
        <v>0.98</v>
      </c>
      <c r="M55" s="6"/>
      <c r="N55" s="3"/>
      <c r="O55" s="122"/>
      <c r="P55" s="122"/>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row>
    <row r="56" spans="2:49" x14ac:dyDescent="0.2">
      <c r="B56" s="3"/>
      <c r="C56" s="3"/>
      <c r="D56" s="118" t="s">
        <v>52</v>
      </c>
      <c r="E56" s="118"/>
      <c r="F56" s="118" t="s">
        <v>381</v>
      </c>
      <c r="G56" s="118">
        <f t="shared" si="19"/>
        <v>1.04</v>
      </c>
      <c r="H56" s="15"/>
      <c r="I56" s="15"/>
      <c r="J56" s="120" t="s">
        <v>392</v>
      </c>
      <c r="K56" s="120"/>
      <c r="L56" s="152">
        <v>1.1399999999999999</v>
      </c>
      <c r="M56" s="6"/>
      <c r="N56" s="3"/>
      <c r="O56" s="122"/>
      <c r="P56" s="122"/>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row>
    <row r="57" spans="2:49" x14ac:dyDescent="0.2">
      <c r="B57" s="3"/>
      <c r="C57" s="3"/>
      <c r="D57" s="118" t="s">
        <v>53</v>
      </c>
      <c r="E57" s="118"/>
      <c r="F57" s="118" t="s">
        <v>405</v>
      </c>
      <c r="G57" s="118">
        <f t="shared" si="19"/>
        <v>1.2</v>
      </c>
      <c r="H57" s="15"/>
      <c r="I57" s="15"/>
      <c r="J57" s="120" t="s">
        <v>393</v>
      </c>
      <c r="K57" s="120"/>
      <c r="L57" s="152">
        <v>1</v>
      </c>
      <c r="M57" s="6"/>
      <c r="N57" s="3"/>
      <c r="O57" s="122"/>
      <c r="P57" s="122"/>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row>
    <row r="58" spans="2:49" x14ac:dyDescent="0.2">
      <c r="B58" s="3"/>
      <c r="C58" s="3"/>
      <c r="D58" s="118" t="s">
        <v>54</v>
      </c>
      <c r="E58" s="118"/>
      <c r="F58" s="118" t="s">
        <v>453</v>
      </c>
      <c r="G58" s="118">
        <f t="shared" si="19"/>
        <v>0.99</v>
      </c>
      <c r="H58" s="15"/>
      <c r="I58" s="15"/>
      <c r="J58" s="120" t="s">
        <v>394</v>
      </c>
      <c r="K58" s="120"/>
      <c r="L58" s="152">
        <v>1.04</v>
      </c>
      <c r="M58" s="6"/>
      <c r="N58" s="3"/>
      <c r="O58" s="122"/>
      <c r="P58" s="122"/>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row>
    <row r="59" spans="2:49" x14ac:dyDescent="0.2">
      <c r="B59" s="3"/>
      <c r="C59" s="3"/>
      <c r="D59" s="118" t="s">
        <v>55</v>
      </c>
      <c r="E59" s="118"/>
      <c r="F59" s="118" t="s">
        <v>434</v>
      </c>
      <c r="G59" s="118">
        <f t="shared" si="19"/>
        <v>1.03</v>
      </c>
      <c r="H59" s="15"/>
      <c r="I59" s="15"/>
      <c r="J59" s="120" t="s">
        <v>395</v>
      </c>
      <c r="K59" s="120"/>
      <c r="L59" s="152">
        <v>0.9</v>
      </c>
      <c r="M59" s="6"/>
      <c r="N59" s="3"/>
      <c r="O59" s="122"/>
      <c r="P59" s="122"/>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row>
    <row r="60" spans="2:49" x14ac:dyDescent="0.2">
      <c r="B60" s="3"/>
      <c r="C60" s="3"/>
      <c r="D60" s="118" t="s">
        <v>56</v>
      </c>
      <c r="E60" s="118"/>
      <c r="F60" s="118" t="s">
        <v>402</v>
      </c>
      <c r="G60" s="118">
        <f t="shared" si="19"/>
        <v>1.02</v>
      </c>
      <c r="H60" s="15"/>
      <c r="I60" s="15"/>
      <c r="J60" s="120" t="s">
        <v>396</v>
      </c>
      <c r="K60" s="120"/>
      <c r="L60" s="152">
        <v>1.02</v>
      </c>
      <c r="M60" s="6"/>
      <c r="N60" s="3"/>
      <c r="O60" s="122"/>
      <c r="P60" s="122"/>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row>
    <row r="61" spans="2:49" x14ac:dyDescent="0.2">
      <c r="B61" s="3"/>
      <c r="C61" s="3"/>
      <c r="D61" s="118" t="s">
        <v>57</v>
      </c>
      <c r="E61" s="118"/>
      <c r="F61" s="118" t="s">
        <v>402</v>
      </c>
      <c r="G61" s="118">
        <f t="shared" si="19"/>
        <v>1.02</v>
      </c>
      <c r="H61" s="15"/>
      <c r="I61" s="15"/>
      <c r="J61" s="120" t="s">
        <v>397</v>
      </c>
      <c r="K61" s="120"/>
      <c r="L61" s="152">
        <v>1.1000000000000001</v>
      </c>
      <c r="M61" s="6"/>
      <c r="N61" s="3"/>
      <c r="O61" s="122"/>
      <c r="P61" s="122"/>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row>
    <row r="62" spans="2:49" x14ac:dyDescent="0.2">
      <c r="B62" s="3"/>
      <c r="C62" s="3"/>
      <c r="D62" s="118" t="s">
        <v>58</v>
      </c>
      <c r="E62" s="118"/>
      <c r="F62" s="118" t="s">
        <v>388</v>
      </c>
      <c r="G62" s="118">
        <f t="shared" si="19"/>
        <v>1.04</v>
      </c>
      <c r="H62" s="15"/>
      <c r="I62" s="15"/>
      <c r="J62" s="120" t="s">
        <v>398</v>
      </c>
      <c r="K62" s="120"/>
      <c r="L62" s="152">
        <v>1</v>
      </c>
      <c r="M62" s="6"/>
      <c r="N62" s="3"/>
      <c r="O62" s="122"/>
      <c r="P62" s="122"/>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row>
    <row r="63" spans="2:49" x14ac:dyDescent="0.2">
      <c r="B63" s="3"/>
      <c r="C63" s="3"/>
      <c r="D63" s="118" t="s">
        <v>59</v>
      </c>
      <c r="E63" s="118"/>
      <c r="F63" s="118" t="s">
        <v>396</v>
      </c>
      <c r="G63" s="118">
        <f t="shared" si="19"/>
        <v>1.02</v>
      </c>
      <c r="H63" s="15"/>
      <c r="I63" s="15"/>
      <c r="J63" s="120" t="s">
        <v>399</v>
      </c>
      <c r="K63" s="120"/>
      <c r="L63" s="152">
        <v>1.07</v>
      </c>
      <c r="M63" s="6"/>
      <c r="N63" s="3"/>
      <c r="O63" s="122"/>
      <c r="P63" s="122"/>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row>
    <row r="64" spans="2:49" x14ac:dyDescent="0.2">
      <c r="B64" s="3"/>
      <c r="C64" s="3"/>
      <c r="D64" s="118" t="s">
        <v>60</v>
      </c>
      <c r="E64" s="118"/>
      <c r="F64" s="118" t="s">
        <v>435</v>
      </c>
      <c r="G64" s="118">
        <f t="shared" si="19"/>
        <v>1.03</v>
      </c>
      <c r="H64" s="15"/>
      <c r="I64" s="15"/>
      <c r="J64" s="120" t="s">
        <v>400</v>
      </c>
      <c r="K64" s="120"/>
      <c r="L64" s="152">
        <v>0.89</v>
      </c>
      <c r="M64" s="6"/>
      <c r="N64" s="3"/>
      <c r="O64" s="122"/>
      <c r="P64" s="122"/>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row>
    <row r="65" spans="2:49" x14ac:dyDescent="0.2">
      <c r="B65" s="3"/>
      <c r="C65" s="3"/>
      <c r="D65" s="118" t="s">
        <v>61</v>
      </c>
      <c r="E65" s="118"/>
      <c r="F65" s="118" t="s">
        <v>390</v>
      </c>
      <c r="G65" s="118">
        <f t="shared" si="19"/>
        <v>1</v>
      </c>
      <c r="H65" s="15"/>
      <c r="I65" s="15"/>
      <c r="J65" s="120" t="s">
        <v>401</v>
      </c>
      <c r="K65" s="120"/>
      <c r="L65" s="152">
        <v>1.1399999999999999</v>
      </c>
      <c r="M65" s="6"/>
      <c r="N65" s="3"/>
      <c r="O65" s="122"/>
      <c r="P65" s="122"/>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row>
    <row r="66" spans="2:49" x14ac:dyDescent="0.2">
      <c r="B66" s="3"/>
      <c r="C66" s="3"/>
      <c r="D66" s="118" t="s">
        <v>62</v>
      </c>
      <c r="E66" s="118"/>
      <c r="F66" s="118" t="s">
        <v>382</v>
      </c>
      <c r="G66" s="118">
        <f t="shared" si="19"/>
        <v>1.1299999999999999</v>
      </c>
      <c r="H66" s="15"/>
      <c r="I66" s="15"/>
      <c r="J66" s="120" t="s">
        <v>402</v>
      </c>
      <c r="K66" s="120"/>
      <c r="L66" s="152">
        <v>1.02</v>
      </c>
      <c r="M66" s="6"/>
      <c r="N66" s="3"/>
      <c r="O66" s="122"/>
      <c r="P66" s="122"/>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row>
    <row r="67" spans="2:49" x14ac:dyDescent="0.2">
      <c r="B67" s="3"/>
      <c r="C67" s="3"/>
      <c r="D67" s="118" t="s">
        <v>63</v>
      </c>
      <c r="E67" s="118"/>
      <c r="F67" s="118" t="s">
        <v>455</v>
      </c>
      <c r="G67" s="118">
        <f t="shared" si="19"/>
        <v>0.88</v>
      </c>
      <c r="H67" s="15"/>
      <c r="I67" s="15"/>
      <c r="J67" s="120" t="s">
        <v>403</v>
      </c>
      <c r="K67" s="120"/>
      <c r="L67" s="152">
        <v>1.1399999999999999</v>
      </c>
      <c r="M67" s="6"/>
      <c r="N67" s="3"/>
      <c r="O67" s="122"/>
      <c r="P67" s="122"/>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row>
    <row r="68" spans="2:49" x14ac:dyDescent="0.2">
      <c r="B68" s="3"/>
      <c r="C68" s="3"/>
      <c r="D68" s="118" t="s">
        <v>64</v>
      </c>
      <c r="E68" s="118"/>
      <c r="F68" s="118" t="s">
        <v>394</v>
      </c>
      <c r="G68" s="118">
        <f t="shared" si="19"/>
        <v>1.04</v>
      </c>
      <c r="H68" s="15"/>
      <c r="I68" s="15"/>
      <c r="J68" s="120" t="s">
        <v>404</v>
      </c>
      <c r="K68" s="120"/>
      <c r="L68" s="152">
        <v>1.18</v>
      </c>
      <c r="M68" s="6"/>
      <c r="N68" s="3"/>
      <c r="O68" s="122"/>
      <c r="P68" s="122"/>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row>
    <row r="69" spans="2:49" x14ac:dyDescent="0.2">
      <c r="B69" s="3"/>
      <c r="C69" s="3"/>
      <c r="D69" s="118" t="s">
        <v>65</v>
      </c>
      <c r="E69" s="118"/>
      <c r="F69" s="118" t="s">
        <v>438</v>
      </c>
      <c r="G69" s="118">
        <f t="shared" si="19"/>
        <v>0.96</v>
      </c>
      <c r="H69" s="15"/>
      <c r="I69" s="15"/>
      <c r="J69" s="120" t="s">
        <v>405</v>
      </c>
      <c r="K69" s="120"/>
      <c r="L69" s="152">
        <v>1.2</v>
      </c>
      <c r="M69" s="6"/>
      <c r="N69" s="3"/>
      <c r="O69" s="122"/>
      <c r="P69" s="122"/>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row>
    <row r="70" spans="2:49" x14ac:dyDescent="0.2">
      <c r="B70" s="3"/>
      <c r="C70" s="3"/>
      <c r="D70" s="118" t="s">
        <v>66</v>
      </c>
      <c r="E70" s="118"/>
      <c r="F70" s="118" t="s">
        <v>406</v>
      </c>
      <c r="G70" s="118">
        <f t="shared" si="19"/>
        <v>1.19</v>
      </c>
      <c r="H70" s="15"/>
      <c r="I70" s="15"/>
      <c r="J70" s="120" t="s">
        <v>406</v>
      </c>
      <c r="K70" s="120"/>
      <c r="L70" s="152">
        <v>1.19</v>
      </c>
      <c r="M70" s="6"/>
      <c r="N70" s="3"/>
      <c r="O70" s="122"/>
      <c r="P70" s="122"/>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row>
    <row r="71" spans="2:49" x14ac:dyDescent="0.2">
      <c r="B71" s="3"/>
      <c r="C71" s="3"/>
      <c r="D71" s="118" t="s">
        <v>67</v>
      </c>
      <c r="E71" s="118"/>
      <c r="F71" s="118" t="s">
        <v>394</v>
      </c>
      <c r="G71" s="118">
        <f t="shared" si="19"/>
        <v>1.04</v>
      </c>
      <c r="H71" s="15"/>
      <c r="I71" s="15"/>
      <c r="J71" s="120" t="s">
        <v>407</v>
      </c>
      <c r="K71" s="120"/>
      <c r="L71" s="152">
        <v>1.17</v>
      </c>
      <c r="M71" s="6"/>
      <c r="N71" s="3"/>
      <c r="O71" s="122"/>
      <c r="P71" s="122"/>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row>
    <row r="72" spans="2:49" x14ac:dyDescent="0.2">
      <c r="B72" s="3"/>
      <c r="C72" s="3"/>
      <c r="D72" s="118" t="s">
        <v>68</v>
      </c>
      <c r="E72" s="118"/>
      <c r="F72" s="118" t="s">
        <v>392</v>
      </c>
      <c r="G72" s="118">
        <f t="shared" si="19"/>
        <v>1.1399999999999999</v>
      </c>
      <c r="H72" s="15"/>
      <c r="I72" s="15"/>
      <c r="J72" s="120" t="s">
        <v>408</v>
      </c>
      <c r="K72" s="120"/>
      <c r="L72" s="152">
        <v>1.28</v>
      </c>
      <c r="M72" s="6"/>
      <c r="N72" s="3"/>
      <c r="O72" s="122"/>
      <c r="P72" s="122"/>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row>
    <row r="73" spans="2:49" x14ac:dyDescent="0.2">
      <c r="B73" s="3"/>
      <c r="C73" s="3"/>
      <c r="D73" s="118" t="s">
        <v>69</v>
      </c>
      <c r="E73" s="118"/>
      <c r="F73" s="118" t="s">
        <v>380</v>
      </c>
      <c r="G73" s="118">
        <f t="shared" si="19"/>
        <v>0.98</v>
      </c>
      <c r="H73" s="15"/>
      <c r="I73" s="15"/>
      <c r="J73" s="120" t="s">
        <v>409</v>
      </c>
      <c r="K73" s="120"/>
      <c r="L73" s="152">
        <v>1.2</v>
      </c>
      <c r="M73" s="6"/>
      <c r="N73" s="3"/>
      <c r="O73" s="122"/>
      <c r="P73" s="122"/>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row>
    <row r="74" spans="2:49" x14ac:dyDescent="0.2">
      <c r="B74" s="3"/>
      <c r="C74" s="3"/>
      <c r="D74" s="118" t="s">
        <v>70</v>
      </c>
      <c r="E74" s="118"/>
      <c r="F74" s="118" t="s">
        <v>438</v>
      </c>
      <c r="G74" s="118">
        <f t="shared" si="19"/>
        <v>0.96</v>
      </c>
      <c r="H74" s="15"/>
      <c r="I74" s="15"/>
      <c r="J74" s="120" t="s">
        <v>410</v>
      </c>
      <c r="K74" s="120"/>
      <c r="L74" s="152">
        <v>1.24</v>
      </c>
      <c r="M74" s="6"/>
      <c r="N74" s="3"/>
      <c r="O74" s="122"/>
      <c r="P74" s="122"/>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row>
    <row r="75" spans="2:49" x14ac:dyDescent="0.2">
      <c r="B75" s="3"/>
      <c r="C75" s="3"/>
      <c r="D75" s="118" t="s">
        <v>71</v>
      </c>
      <c r="E75" s="118"/>
      <c r="F75" s="118" t="s">
        <v>438</v>
      </c>
      <c r="G75" s="118">
        <f t="shared" si="19"/>
        <v>0.96</v>
      </c>
      <c r="H75" s="15"/>
      <c r="I75" s="15"/>
      <c r="J75" s="120" t="s">
        <v>411</v>
      </c>
      <c r="K75" s="120"/>
      <c r="L75" s="152">
        <v>1.1499999999999999</v>
      </c>
      <c r="M75" s="6"/>
      <c r="N75" s="3"/>
      <c r="O75" s="122"/>
      <c r="P75" s="122"/>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row>
    <row r="76" spans="2:49" x14ac:dyDescent="0.2">
      <c r="B76" s="3"/>
      <c r="C76" s="3"/>
      <c r="D76" s="118" t="s">
        <v>72</v>
      </c>
      <c r="E76" s="118"/>
      <c r="F76" s="118" t="s">
        <v>407</v>
      </c>
      <c r="G76" s="118">
        <f t="shared" si="19"/>
        <v>1.17</v>
      </c>
      <c r="H76" s="15"/>
      <c r="I76" s="15"/>
      <c r="J76" s="120" t="s">
        <v>412</v>
      </c>
      <c r="K76" s="120"/>
      <c r="L76" s="153">
        <v>1.21</v>
      </c>
      <c r="M76" s="6"/>
      <c r="N76" s="3"/>
      <c r="O76" s="122"/>
      <c r="P76" s="122"/>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row>
    <row r="77" spans="2:49" x14ac:dyDescent="0.2">
      <c r="B77" s="3"/>
      <c r="C77" s="3"/>
      <c r="D77" s="118" t="s">
        <v>73</v>
      </c>
      <c r="E77" s="118"/>
      <c r="F77" s="118" t="s">
        <v>453</v>
      </c>
      <c r="G77" s="118">
        <f t="shared" si="19"/>
        <v>0.99</v>
      </c>
      <c r="H77" s="15"/>
      <c r="I77" s="15"/>
      <c r="J77" s="120" t="s">
        <v>413</v>
      </c>
      <c r="K77" s="120"/>
      <c r="L77" s="152">
        <v>1.23</v>
      </c>
      <c r="M77" s="6"/>
      <c r="N77" s="3"/>
      <c r="O77" s="122"/>
      <c r="P77" s="122"/>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row>
    <row r="78" spans="2:49" x14ac:dyDescent="0.2">
      <c r="B78" s="3"/>
      <c r="C78" s="3"/>
      <c r="D78" s="118" t="s">
        <v>74</v>
      </c>
      <c r="E78" s="118"/>
      <c r="F78" s="118" t="s">
        <v>399</v>
      </c>
      <c r="G78" s="118">
        <f t="shared" si="19"/>
        <v>1.07</v>
      </c>
      <c r="H78" s="15"/>
      <c r="I78" s="15"/>
      <c r="J78" s="120" t="s">
        <v>414</v>
      </c>
      <c r="K78" s="120"/>
      <c r="L78" s="152">
        <v>1.26</v>
      </c>
      <c r="M78" s="6"/>
      <c r="N78" s="3"/>
      <c r="O78" s="122"/>
      <c r="P78" s="122"/>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row>
    <row r="79" spans="2:49" x14ac:dyDescent="0.2">
      <c r="B79" s="3"/>
      <c r="C79" s="3"/>
      <c r="D79" s="118" t="s">
        <v>75</v>
      </c>
      <c r="E79" s="118"/>
      <c r="F79" s="118" t="s">
        <v>442</v>
      </c>
      <c r="G79" s="118">
        <f t="shared" si="19"/>
        <v>1.02</v>
      </c>
      <c r="H79" s="15"/>
      <c r="I79" s="15"/>
      <c r="J79" s="120" t="s">
        <v>415</v>
      </c>
      <c r="K79" s="120"/>
      <c r="L79" s="152">
        <v>1.26</v>
      </c>
      <c r="M79" s="6"/>
      <c r="N79" s="3"/>
      <c r="O79" s="122"/>
      <c r="P79" s="122"/>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row>
    <row r="80" spans="2:49" x14ac:dyDescent="0.2">
      <c r="B80" s="3"/>
      <c r="C80" s="3"/>
      <c r="D80" s="118" t="s">
        <v>76</v>
      </c>
      <c r="E80" s="118"/>
      <c r="F80" s="118" t="s">
        <v>402</v>
      </c>
      <c r="G80" s="118">
        <f t="shared" si="19"/>
        <v>1.02</v>
      </c>
      <c r="H80" s="15"/>
      <c r="I80" s="15"/>
      <c r="J80" s="120" t="s">
        <v>416</v>
      </c>
      <c r="K80" s="120"/>
      <c r="L80" s="152">
        <v>1.1399999999999999</v>
      </c>
      <c r="M80" s="6"/>
      <c r="N80" s="3"/>
      <c r="O80" s="122"/>
      <c r="P80" s="122"/>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row>
    <row r="81" spans="2:49" x14ac:dyDescent="0.2">
      <c r="B81" s="3"/>
      <c r="C81" s="3"/>
      <c r="D81" s="118" t="s">
        <v>77</v>
      </c>
      <c r="E81" s="118"/>
      <c r="F81" s="118" t="s">
        <v>396</v>
      </c>
      <c r="G81" s="118">
        <f t="shared" si="19"/>
        <v>1.02</v>
      </c>
      <c r="H81" s="15"/>
      <c r="I81" s="15"/>
      <c r="J81" s="120" t="s">
        <v>417</v>
      </c>
      <c r="K81" s="120"/>
      <c r="L81" s="152">
        <v>1.05</v>
      </c>
      <c r="M81" s="6"/>
      <c r="N81" s="3"/>
      <c r="O81" s="122"/>
      <c r="P81" s="122"/>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row>
    <row r="82" spans="2:49" x14ac:dyDescent="0.2">
      <c r="B82" s="3"/>
      <c r="C82" s="3"/>
      <c r="D82" s="118" t="s">
        <v>78</v>
      </c>
      <c r="E82" s="118"/>
      <c r="F82" s="118" t="s">
        <v>455</v>
      </c>
      <c r="G82" s="118">
        <f t="shared" si="19"/>
        <v>0.88</v>
      </c>
      <c r="H82" s="15"/>
      <c r="I82" s="15"/>
      <c r="J82" s="120" t="s">
        <v>418</v>
      </c>
      <c r="K82" s="120"/>
      <c r="L82" s="152">
        <v>1.1299999999999999</v>
      </c>
      <c r="M82" s="6"/>
      <c r="N82" s="3"/>
      <c r="O82" s="122"/>
      <c r="P82" s="122"/>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row>
    <row r="83" spans="2:49" x14ac:dyDescent="0.2">
      <c r="B83" s="3"/>
      <c r="C83" s="3"/>
      <c r="D83" s="118" t="s">
        <v>79</v>
      </c>
      <c r="E83" s="118"/>
      <c r="F83" s="118" t="s">
        <v>384</v>
      </c>
      <c r="G83" s="118">
        <f t="shared" si="19"/>
        <v>1</v>
      </c>
      <c r="H83" s="15"/>
      <c r="I83" s="15"/>
      <c r="J83" s="120" t="s">
        <v>419</v>
      </c>
      <c r="K83" s="120"/>
      <c r="L83" s="152">
        <v>1.1299999999999999</v>
      </c>
      <c r="M83" s="6"/>
      <c r="N83" s="3"/>
      <c r="O83" s="122"/>
      <c r="P83" s="122"/>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row>
    <row r="84" spans="2:49" x14ac:dyDescent="0.2">
      <c r="B84" s="3"/>
      <c r="C84" s="3"/>
      <c r="D84" s="118" t="s">
        <v>80</v>
      </c>
      <c r="E84" s="118"/>
      <c r="F84" s="118" t="s">
        <v>408</v>
      </c>
      <c r="G84" s="118">
        <f t="shared" si="19"/>
        <v>1.28</v>
      </c>
      <c r="H84" s="15"/>
      <c r="I84" s="15"/>
      <c r="J84" s="120" t="s">
        <v>420</v>
      </c>
      <c r="K84" s="120"/>
      <c r="L84" s="152">
        <v>1.25</v>
      </c>
      <c r="M84" s="6"/>
      <c r="N84" s="3"/>
      <c r="O84" s="122"/>
      <c r="P84" s="122"/>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row>
    <row r="85" spans="2:49" x14ac:dyDescent="0.2">
      <c r="B85" s="3"/>
      <c r="C85" s="3"/>
      <c r="D85" s="118" t="s">
        <v>81</v>
      </c>
      <c r="E85" s="118"/>
      <c r="F85" s="118" t="s">
        <v>447</v>
      </c>
      <c r="G85" s="118">
        <f t="shared" si="19"/>
        <v>0.97</v>
      </c>
      <c r="H85" s="15"/>
      <c r="I85" s="15"/>
      <c r="J85" s="120" t="s">
        <v>421</v>
      </c>
      <c r="K85" s="120"/>
      <c r="L85" s="152">
        <v>1.32</v>
      </c>
      <c r="M85" s="6"/>
      <c r="N85" s="3"/>
      <c r="O85" s="122"/>
      <c r="P85" s="122"/>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row>
    <row r="86" spans="2:49" x14ac:dyDescent="0.2">
      <c r="B86" s="3"/>
      <c r="C86" s="3"/>
      <c r="D86" s="118" t="s">
        <v>82</v>
      </c>
      <c r="E86" s="118"/>
      <c r="F86" s="118" t="s">
        <v>401</v>
      </c>
      <c r="G86" s="118">
        <f t="shared" si="19"/>
        <v>1.1399999999999999</v>
      </c>
      <c r="H86" s="15"/>
      <c r="I86" s="15"/>
      <c r="J86" s="120" t="s">
        <v>422</v>
      </c>
      <c r="K86" s="120"/>
      <c r="L86" s="152">
        <v>1.22</v>
      </c>
      <c r="M86" s="6"/>
      <c r="N86" s="3"/>
      <c r="O86" s="122"/>
      <c r="P86" s="122"/>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row>
    <row r="87" spans="2:49" x14ac:dyDescent="0.2">
      <c r="B87" s="3"/>
      <c r="C87" s="3"/>
      <c r="D87" s="118" t="s">
        <v>83</v>
      </c>
      <c r="E87" s="118"/>
      <c r="F87" s="118" t="s">
        <v>387</v>
      </c>
      <c r="G87" s="118">
        <f t="shared" si="19"/>
        <v>1.04</v>
      </c>
      <c r="H87" s="15"/>
      <c r="I87" s="15"/>
      <c r="J87" s="120" t="s">
        <v>423</v>
      </c>
      <c r="K87" s="120"/>
      <c r="L87" s="152">
        <v>1.25</v>
      </c>
      <c r="M87" s="6"/>
      <c r="N87" s="3"/>
      <c r="O87" s="122"/>
      <c r="P87" s="122"/>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row>
    <row r="88" spans="2:49" x14ac:dyDescent="0.2">
      <c r="B88" s="3"/>
      <c r="C88" s="3"/>
      <c r="D88" s="118" t="s">
        <v>84</v>
      </c>
      <c r="E88" s="118"/>
      <c r="F88" s="118" t="s">
        <v>394</v>
      </c>
      <c r="G88" s="118">
        <f t="shared" si="19"/>
        <v>1.04</v>
      </c>
      <c r="H88" s="15"/>
      <c r="I88" s="15"/>
      <c r="J88" s="120" t="s">
        <v>424</v>
      </c>
      <c r="K88" s="120"/>
      <c r="L88" s="152">
        <v>1.17</v>
      </c>
      <c r="M88" s="6"/>
      <c r="N88" s="3"/>
      <c r="O88" s="122"/>
      <c r="P88" s="122"/>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row>
    <row r="89" spans="2:49" x14ac:dyDescent="0.2">
      <c r="B89" s="3"/>
      <c r="C89" s="3"/>
      <c r="D89" s="118" t="s">
        <v>85</v>
      </c>
      <c r="E89" s="118"/>
      <c r="F89" s="118" t="s">
        <v>381</v>
      </c>
      <c r="G89" s="118">
        <f t="shared" si="19"/>
        <v>1.04</v>
      </c>
      <c r="H89" s="15"/>
      <c r="I89" s="15"/>
      <c r="J89" s="120" t="s">
        <v>425</v>
      </c>
      <c r="K89" s="120"/>
      <c r="L89" s="152">
        <v>1.21</v>
      </c>
      <c r="M89" s="6"/>
      <c r="N89" s="3"/>
      <c r="O89" s="122"/>
      <c r="P89" s="122"/>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row>
    <row r="90" spans="2:49" x14ac:dyDescent="0.2">
      <c r="B90" s="3"/>
      <c r="C90" s="3"/>
      <c r="D90" s="118" t="s">
        <v>86</v>
      </c>
      <c r="E90" s="118"/>
      <c r="F90" s="118" t="s">
        <v>434</v>
      </c>
      <c r="G90" s="118">
        <f t="shared" si="19"/>
        <v>1.03</v>
      </c>
      <c r="H90" s="15"/>
      <c r="I90" s="15"/>
      <c r="J90" s="120" t="s">
        <v>426</v>
      </c>
      <c r="K90" s="120"/>
      <c r="L90" s="152">
        <v>1.1499999999999999</v>
      </c>
      <c r="M90" s="6"/>
      <c r="N90" s="3"/>
      <c r="O90" s="122"/>
      <c r="P90" s="122"/>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row>
    <row r="91" spans="2:49" x14ac:dyDescent="0.2">
      <c r="B91" s="3"/>
      <c r="C91" s="3"/>
      <c r="D91" s="118" t="s">
        <v>87</v>
      </c>
      <c r="E91" s="118"/>
      <c r="F91" s="118" t="s">
        <v>394</v>
      </c>
      <c r="G91" s="118">
        <f t="shared" si="19"/>
        <v>1.04</v>
      </c>
      <c r="H91" s="15"/>
      <c r="I91" s="15"/>
      <c r="J91" s="120" t="s">
        <v>427</v>
      </c>
      <c r="K91" s="120"/>
      <c r="L91" s="152">
        <v>1.1200000000000001</v>
      </c>
      <c r="M91" s="6"/>
      <c r="N91" s="3"/>
      <c r="O91" s="122"/>
      <c r="P91" s="122"/>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row>
    <row r="92" spans="2:49" x14ac:dyDescent="0.2">
      <c r="B92" s="3"/>
      <c r="C92" s="3"/>
      <c r="D92" s="118" t="s">
        <v>88</v>
      </c>
      <c r="E92" s="118"/>
      <c r="F92" s="118" t="s">
        <v>395</v>
      </c>
      <c r="G92" s="118">
        <f t="shared" si="19"/>
        <v>0.9</v>
      </c>
      <c r="H92" s="15"/>
      <c r="I92" s="15"/>
      <c r="J92" s="120" t="s">
        <v>428</v>
      </c>
      <c r="K92" s="120"/>
      <c r="L92" s="152">
        <v>1.19</v>
      </c>
      <c r="M92" s="6"/>
      <c r="N92" s="3"/>
      <c r="O92" s="122"/>
      <c r="P92" s="122"/>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row>
    <row r="93" spans="2:49" x14ac:dyDescent="0.2">
      <c r="B93" s="3"/>
      <c r="C93" s="3"/>
      <c r="D93" s="118" t="s">
        <v>89</v>
      </c>
      <c r="E93" s="118"/>
      <c r="F93" s="118" t="s">
        <v>443</v>
      </c>
      <c r="G93" s="118">
        <f t="shared" si="19"/>
        <v>1.0900000000000001</v>
      </c>
      <c r="H93" s="15"/>
      <c r="I93" s="15"/>
      <c r="J93" s="120" t="s">
        <v>429</v>
      </c>
      <c r="K93" s="120"/>
      <c r="L93" s="152">
        <v>1.25</v>
      </c>
      <c r="M93" s="6"/>
      <c r="N93" s="3"/>
      <c r="O93" s="122"/>
      <c r="P93" s="122"/>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row>
    <row r="94" spans="2:49" x14ac:dyDescent="0.2">
      <c r="B94" s="3"/>
      <c r="C94" s="3"/>
      <c r="D94" s="118" t="s">
        <v>90</v>
      </c>
      <c r="E94" s="118"/>
      <c r="F94" s="118" t="s">
        <v>385</v>
      </c>
      <c r="G94" s="118">
        <f t="shared" si="19"/>
        <v>1.03</v>
      </c>
      <c r="H94" s="15"/>
      <c r="I94" s="15"/>
      <c r="J94" s="120" t="s">
        <v>430</v>
      </c>
      <c r="K94" s="120"/>
      <c r="L94" s="152">
        <v>1.1599999999999999</v>
      </c>
      <c r="M94" s="6"/>
      <c r="N94" s="3"/>
      <c r="O94" s="122"/>
      <c r="P94" s="122"/>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row>
    <row r="95" spans="2:49" x14ac:dyDescent="0.2">
      <c r="B95" s="3"/>
      <c r="C95" s="3"/>
      <c r="D95" s="118" t="s">
        <v>91</v>
      </c>
      <c r="E95" s="118"/>
      <c r="F95" s="118" t="s">
        <v>385</v>
      </c>
      <c r="G95" s="118">
        <f t="shared" si="19"/>
        <v>1.03</v>
      </c>
      <c r="H95" s="15"/>
      <c r="I95" s="15"/>
      <c r="J95" s="120" t="s">
        <v>431</v>
      </c>
      <c r="K95" s="120"/>
      <c r="L95" s="152">
        <v>1.23</v>
      </c>
      <c r="M95" s="6"/>
      <c r="N95" s="3"/>
      <c r="O95" s="122"/>
      <c r="P95" s="122"/>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row>
    <row r="96" spans="2:49" x14ac:dyDescent="0.2">
      <c r="B96" s="3"/>
      <c r="C96" s="3"/>
      <c r="D96" s="118" t="s">
        <v>92</v>
      </c>
      <c r="E96" s="118"/>
      <c r="F96" s="118" t="s">
        <v>388</v>
      </c>
      <c r="G96" s="118">
        <f t="shared" si="19"/>
        <v>1.04</v>
      </c>
      <c r="H96" s="15"/>
      <c r="I96" s="15"/>
      <c r="J96" s="120" t="s">
        <v>432</v>
      </c>
      <c r="K96" s="120"/>
      <c r="L96" s="152">
        <v>1.1499999999999999</v>
      </c>
      <c r="M96" s="6"/>
      <c r="N96" s="3"/>
      <c r="O96" s="122"/>
      <c r="P96" s="122"/>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row>
    <row r="97" spans="2:49" x14ac:dyDescent="0.2">
      <c r="B97" s="3"/>
      <c r="C97" s="3"/>
      <c r="D97" s="118" t="s">
        <v>93</v>
      </c>
      <c r="E97" s="118"/>
      <c r="F97" s="118" t="s">
        <v>454</v>
      </c>
      <c r="G97" s="118">
        <f t="shared" si="19"/>
        <v>1.1299999999999999</v>
      </c>
      <c r="H97" s="15"/>
      <c r="I97" s="15"/>
      <c r="J97" s="120" t="s">
        <v>433</v>
      </c>
      <c r="K97" s="120"/>
      <c r="L97" s="152">
        <v>1.27</v>
      </c>
      <c r="M97" s="6"/>
      <c r="N97" s="3"/>
      <c r="O97" s="122"/>
      <c r="P97" s="122"/>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row>
    <row r="98" spans="2:49" x14ac:dyDescent="0.2">
      <c r="B98" s="3"/>
      <c r="C98" s="3"/>
      <c r="D98" s="118" t="s">
        <v>94</v>
      </c>
      <c r="E98" s="118"/>
      <c r="F98" s="118" t="s">
        <v>383</v>
      </c>
      <c r="G98" s="118">
        <f t="shared" si="19"/>
        <v>1.1100000000000001</v>
      </c>
      <c r="H98" s="15"/>
      <c r="I98" s="15"/>
      <c r="J98" s="120" t="s">
        <v>434</v>
      </c>
      <c r="K98" s="120"/>
      <c r="L98" s="152">
        <v>1.03</v>
      </c>
      <c r="M98" s="6"/>
      <c r="N98" s="3"/>
      <c r="O98" s="122"/>
      <c r="P98" s="122"/>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row>
    <row r="99" spans="2:49" x14ac:dyDescent="0.2">
      <c r="B99" s="3"/>
      <c r="C99" s="3"/>
      <c r="D99" s="118" t="s">
        <v>95</v>
      </c>
      <c r="E99" s="118"/>
      <c r="F99" s="118" t="s">
        <v>402</v>
      </c>
      <c r="G99" s="118">
        <f t="shared" si="19"/>
        <v>1.02</v>
      </c>
      <c r="H99" s="15"/>
      <c r="I99" s="15"/>
      <c r="J99" s="120" t="s">
        <v>435</v>
      </c>
      <c r="K99" s="120"/>
      <c r="L99" s="152">
        <v>1.03</v>
      </c>
      <c r="M99" s="6"/>
      <c r="N99" s="3"/>
      <c r="O99" s="122"/>
      <c r="P99" s="122"/>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row>
    <row r="100" spans="2:49" x14ac:dyDescent="0.2">
      <c r="B100" s="3"/>
      <c r="C100" s="3"/>
      <c r="D100" s="118" t="s">
        <v>96</v>
      </c>
      <c r="E100" s="118"/>
      <c r="F100" s="118" t="s">
        <v>390</v>
      </c>
      <c r="G100" s="118">
        <f t="shared" si="19"/>
        <v>1</v>
      </c>
      <c r="H100" s="15"/>
      <c r="I100" s="15"/>
      <c r="J100" s="120" t="s">
        <v>436</v>
      </c>
      <c r="K100" s="120"/>
      <c r="L100" s="152">
        <v>1.02</v>
      </c>
      <c r="M100" s="6"/>
      <c r="N100" s="3"/>
      <c r="O100" s="122"/>
      <c r="P100" s="122"/>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row>
    <row r="101" spans="2:49" x14ac:dyDescent="0.2">
      <c r="B101" s="3"/>
      <c r="C101" s="3"/>
      <c r="D101" s="118" t="s">
        <v>97</v>
      </c>
      <c r="E101" s="118"/>
      <c r="F101" s="118" t="s">
        <v>97</v>
      </c>
      <c r="G101" s="118">
        <f t="shared" si="19"/>
        <v>1.2</v>
      </c>
      <c r="H101" s="15"/>
      <c r="I101" s="15"/>
      <c r="J101" s="120" t="s">
        <v>437</v>
      </c>
      <c r="K101" s="120"/>
      <c r="L101" s="152">
        <v>1</v>
      </c>
      <c r="M101" s="6"/>
      <c r="N101" s="3"/>
      <c r="O101" s="122"/>
      <c r="P101" s="122"/>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row>
    <row r="102" spans="2:49" x14ac:dyDescent="0.2">
      <c r="B102" s="3"/>
      <c r="C102" s="3"/>
      <c r="D102" s="118" t="s">
        <v>98</v>
      </c>
      <c r="E102" s="118"/>
      <c r="F102" s="118" t="s">
        <v>98</v>
      </c>
      <c r="G102" s="118">
        <f t="shared" si="19"/>
        <v>1.27</v>
      </c>
      <c r="H102" s="15"/>
      <c r="I102" s="15"/>
      <c r="J102" s="120" t="s">
        <v>438</v>
      </c>
      <c r="K102" s="120"/>
      <c r="L102" s="152">
        <v>0.96</v>
      </c>
      <c r="M102" s="6"/>
      <c r="N102" s="3"/>
      <c r="O102" s="122"/>
      <c r="P102" s="122"/>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row>
    <row r="103" spans="2:49" x14ac:dyDescent="0.2">
      <c r="B103" s="3"/>
      <c r="C103" s="3"/>
      <c r="D103" s="118" t="s">
        <v>99</v>
      </c>
      <c r="E103" s="118"/>
      <c r="F103" s="118" t="s">
        <v>394</v>
      </c>
      <c r="G103" s="118">
        <f t="shared" si="19"/>
        <v>1.04</v>
      </c>
      <c r="H103" s="15"/>
      <c r="I103" s="15"/>
      <c r="J103" s="120" t="s">
        <v>439</v>
      </c>
      <c r="K103" s="120"/>
      <c r="L103" s="152">
        <v>0.94</v>
      </c>
      <c r="M103" s="6"/>
      <c r="N103" s="3"/>
      <c r="O103" s="122"/>
      <c r="P103" s="122"/>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row>
    <row r="104" spans="2:49" x14ac:dyDescent="0.2">
      <c r="B104" s="3"/>
      <c r="C104" s="3"/>
      <c r="D104" s="118" t="s">
        <v>100</v>
      </c>
      <c r="E104" s="118"/>
      <c r="F104" s="118" t="s">
        <v>387</v>
      </c>
      <c r="G104" s="118">
        <f t="shared" si="19"/>
        <v>1.04</v>
      </c>
      <c r="H104" s="15"/>
      <c r="I104" s="15"/>
      <c r="J104" s="120" t="s">
        <v>440</v>
      </c>
      <c r="K104" s="120"/>
      <c r="L104" s="152">
        <v>1.08</v>
      </c>
      <c r="M104" s="6"/>
      <c r="N104" s="3"/>
      <c r="O104" s="122"/>
      <c r="P104" s="122"/>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row>
    <row r="105" spans="2:49" x14ac:dyDescent="0.2">
      <c r="B105" s="3"/>
      <c r="C105" s="3"/>
      <c r="D105" s="118" t="s">
        <v>101</v>
      </c>
      <c r="E105" s="118"/>
      <c r="F105" s="118" t="s">
        <v>440</v>
      </c>
      <c r="G105" s="118">
        <f t="shared" ref="G105:G168" si="20">LOOKUP(F105,$J$41:$J$121,$L$41:$L$121)</f>
        <v>1.08</v>
      </c>
      <c r="H105" s="15"/>
      <c r="I105" s="15"/>
      <c r="J105" s="120" t="s">
        <v>441</v>
      </c>
      <c r="K105" s="120"/>
      <c r="L105" s="152">
        <v>1</v>
      </c>
      <c r="M105" s="6"/>
      <c r="N105" s="3"/>
      <c r="O105" s="122"/>
      <c r="P105" s="122"/>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row>
    <row r="106" spans="2:49" x14ac:dyDescent="0.2">
      <c r="B106" s="3"/>
      <c r="C106" s="3"/>
      <c r="D106" s="118" t="s">
        <v>102</v>
      </c>
      <c r="E106" s="118"/>
      <c r="F106" s="118" t="s">
        <v>102</v>
      </c>
      <c r="G106" s="118">
        <f t="shared" si="20"/>
        <v>1</v>
      </c>
      <c r="H106" s="15"/>
      <c r="I106" s="15"/>
      <c r="J106" s="120" t="s">
        <v>442</v>
      </c>
      <c r="K106" s="120"/>
      <c r="L106" s="152">
        <v>1.02</v>
      </c>
      <c r="M106" s="6"/>
      <c r="N106" s="3"/>
      <c r="O106" s="122"/>
      <c r="P106" s="122"/>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row>
    <row r="107" spans="2:49" x14ac:dyDescent="0.2">
      <c r="B107" s="3"/>
      <c r="C107" s="3"/>
      <c r="D107" s="118" t="s">
        <v>103</v>
      </c>
      <c r="E107" s="118"/>
      <c r="F107" s="118" t="s">
        <v>395</v>
      </c>
      <c r="G107" s="118">
        <f t="shared" si="20"/>
        <v>0.9</v>
      </c>
      <c r="H107" s="15"/>
      <c r="I107" s="15"/>
      <c r="J107" s="120" t="s">
        <v>443</v>
      </c>
      <c r="K107" s="120"/>
      <c r="L107" s="152">
        <v>1.0900000000000001</v>
      </c>
      <c r="M107" s="6"/>
      <c r="N107" s="3"/>
      <c r="O107" s="122"/>
      <c r="P107" s="122"/>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row>
    <row r="108" spans="2:49" x14ac:dyDescent="0.2">
      <c r="B108" s="3"/>
      <c r="C108" s="3"/>
      <c r="D108" s="118" t="s">
        <v>104</v>
      </c>
      <c r="E108" s="118"/>
      <c r="F108" s="118" t="s">
        <v>391</v>
      </c>
      <c r="G108" s="118">
        <f t="shared" si="20"/>
        <v>0.98</v>
      </c>
      <c r="H108" s="15"/>
      <c r="I108" s="15"/>
      <c r="J108" s="120" t="s">
        <v>444</v>
      </c>
      <c r="K108" s="120"/>
      <c r="L108" s="152">
        <v>0.89</v>
      </c>
      <c r="M108" s="6"/>
      <c r="N108" s="3"/>
      <c r="O108" s="122"/>
      <c r="P108" s="122"/>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row>
    <row r="109" spans="2:49" x14ac:dyDescent="0.2">
      <c r="B109" s="3"/>
      <c r="C109" s="3"/>
      <c r="D109" s="118" t="s">
        <v>105</v>
      </c>
      <c r="E109" s="118"/>
      <c r="F109" s="118" t="s">
        <v>453</v>
      </c>
      <c r="G109" s="118">
        <f t="shared" si="20"/>
        <v>0.99</v>
      </c>
      <c r="H109" s="15"/>
      <c r="I109" s="15"/>
      <c r="J109" s="120" t="s">
        <v>276</v>
      </c>
      <c r="K109" s="120"/>
      <c r="L109" s="152">
        <v>0.98</v>
      </c>
      <c r="M109" s="6"/>
      <c r="N109" s="3"/>
      <c r="O109" s="122"/>
      <c r="P109" s="122"/>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row>
    <row r="110" spans="2:49" x14ac:dyDescent="0.2">
      <c r="B110" s="3"/>
      <c r="C110" s="3"/>
      <c r="D110" s="118" t="s">
        <v>106</v>
      </c>
      <c r="E110" s="118"/>
      <c r="F110" s="118" t="s">
        <v>439</v>
      </c>
      <c r="G110" s="118">
        <f t="shared" si="20"/>
        <v>0.94</v>
      </c>
      <c r="H110" s="15"/>
      <c r="I110" s="15"/>
      <c r="J110" s="120" t="s">
        <v>445</v>
      </c>
      <c r="K110" s="120"/>
      <c r="L110" s="152">
        <v>0.96</v>
      </c>
      <c r="M110" s="6"/>
      <c r="N110" s="3"/>
      <c r="O110" s="122"/>
      <c r="P110" s="122"/>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row>
    <row r="111" spans="2:49" x14ac:dyDescent="0.2">
      <c r="B111" s="3"/>
      <c r="C111" s="3"/>
      <c r="D111" s="118" t="s">
        <v>107</v>
      </c>
      <c r="E111" s="118"/>
      <c r="F111" s="118" t="s">
        <v>454</v>
      </c>
      <c r="G111" s="118">
        <f t="shared" si="20"/>
        <v>1.1299999999999999</v>
      </c>
      <c r="H111" s="15"/>
      <c r="I111" s="15"/>
      <c r="J111" s="120" t="s">
        <v>446</v>
      </c>
      <c r="K111" s="120"/>
      <c r="L111" s="152">
        <v>0.9</v>
      </c>
      <c r="M111" s="6"/>
      <c r="N111" s="3"/>
      <c r="O111" s="122"/>
      <c r="P111" s="122"/>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row>
    <row r="112" spans="2:49" x14ac:dyDescent="0.2">
      <c r="B112" s="3"/>
      <c r="C112" s="3"/>
      <c r="D112" s="118" t="s">
        <v>108</v>
      </c>
      <c r="E112" s="118"/>
      <c r="F112" s="118" t="s">
        <v>409</v>
      </c>
      <c r="G112" s="118">
        <f t="shared" si="20"/>
        <v>1.2</v>
      </c>
      <c r="H112" s="15"/>
      <c r="I112" s="15"/>
      <c r="J112" s="120" t="s">
        <v>447</v>
      </c>
      <c r="K112" s="120"/>
      <c r="L112" s="152">
        <v>0.97</v>
      </c>
      <c r="M112" s="6"/>
      <c r="N112" s="3"/>
      <c r="O112" s="122"/>
      <c r="P112" s="122"/>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row>
    <row r="113" spans="2:50" x14ac:dyDescent="0.2">
      <c r="B113" s="3"/>
      <c r="C113" s="3"/>
      <c r="D113" s="118" t="s">
        <v>109</v>
      </c>
      <c r="E113" s="118"/>
      <c r="F113" s="118" t="s">
        <v>399</v>
      </c>
      <c r="G113" s="118">
        <f t="shared" si="20"/>
        <v>1.07</v>
      </c>
      <c r="H113" s="15"/>
      <c r="I113" s="15"/>
      <c r="J113" s="120" t="s">
        <v>448</v>
      </c>
      <c r="K113" s="120"/>
      <c r="L113" s="152">
        <v>0.98</v>
      </c>
      <c r="M113" s="6"/>
      <c r="N113" s="3"/>
      <c r="O113" s="122"/>
      <c r="P113" s="122"/>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row>
    <row r="114" spans="2:50" x14ac:dyDescent="0.2">
      <c r="B114" s="3"/>
      <c r="C114" s="3"/>
      <c r="D114" s="118" t="s">
        <v>110</v>
      </c>
      <c r="E114" s="118"/>
      <c r="F114" s="118" t="s">
        <v>391</v>
      </c>
      <c r="G114" s="118">
        <f t="shared" si="20"/>
        <v>0.98</v>
      </c>
      <c r="H114" s="15"/>
      <c r="I114" s="15"/>
      <c r="J114" s="120" t="s">
        <v>449</v>
      </c>
      <c r="K114" s="120"/>
      <c r="L114" s="152">
        <v>1.19</v>
      </c>
      <c r="M114" s="6"/>
      <c r="N114" s="3"/>
      <c r="O114" s="122"/>
      <c r="P114" s="122"/>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row>
    <row r="115" spans="2:50" x14ac:dyDescent="0.2">
      <c r="B115" s="3"/>
      <c r="C115" s="3"/>
      <c r="D115" s="118" t="s">
        <v>111</v>
      </c>
      <c r="E115" s="118"/>
      <c r="F115" s="118" t="s">
        <v>401</v>
      </c>
      <c r="G115" s="118">
        <f t="shared" si="20"/>
        <v>1.1399999999999999</v>
      </c>
      <c r="H115" s="15"/>
      <c r="I115" s="15"/>
      <c r="J115" s="120" t="s">
        <v>450</v>
      </c>
      <c r="K115" s="120"/>
      <c r="L115" s="152">
        <v>0.96</v>
      </c>
      <c r="M115" s="6"/>
      <c r="N115" s="3"/>
      <c r="O115" s="122"/>
      <c r="P115" s="122"/>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row>
    <row r="116" spans="2:50" x14ac:dyDescent="0.2">
      <c r="B116" s="3"/>
      <c r="C116" s="3"/>
      <c r="D116" s="118" t="s">
        <v>112</v>
      </c>
      <c r="E116" s="118"/>
      <c r="F116" s="118" t="s">
        <v>389</v>
      </c>
      <c r="G116" s="118">
        <f t="shared" si="20"/>
        <v>0.97</v>
      </c>
      <c r="H116" s="15"/>
      <c r="I116" s="15"/>
      <c r="J116" s="120" t="s">
        <v>451</v>
      </c>
      <c r="K116" s="120"/>
      <c r="L116" s="152">
        <v>0.84</v>
      </c>
      <c r="M116" s="6"/>
      <c r="N116" s="3"/>
      <c r="O116" s="122"/>
      <c r="P116" s="122"/>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row>
    <row r="117" spans="2:50" x14ac:dyDescent="0.2">
      <c r="B117" s="3"/>
      <c r="C117" s="3"/>
      <c r="D117" s="118" t="s">
        <v>113</v>
      </c>
      <c r="E117" s="118"/>
      <c r="F117" s="118" t="s">
        <v>440</v>
      </c>
      <c r="G117" s="118">
        <f t="shared" si="20"/>
        <v>1.08</v>
      </c>
      <c r="H117" s="15"/>
      <c r="I117" s="15"/>
      <c r="J117" s="120" t="s">
        <v>452</v>
      </c>
      <c r="K117" s="120"/>
      <c r="L117" s="152">
        <v>1.01</v>
      </c>
      <c r="M117" s="6"/>
      <c r="N117" s="3"/>
      <c r="O117" s="122"/>
      <c r="P117" s="122"/>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row>
    <row r="118" spans="2:50" x14ac:dyDescent="0.2">
      <c r="B118" s="3"/>
      <c r="C118" s="3"/>
      <c r="D118" s="118" t="s">
        <v>114</v>
      </c>
      <c r="E118" s="118"/>
      <c r="F118" s="118" t="s">
        <v>388</v>
      </c>
      <c r="G118" s="118">
        <f t="shared" si="20"/>
        <v>1.04</v>
      </c>
      <c r="H118" s="15"/>
      <c r="I118" s="15"/>
      <c r="J118" s="120" t="s">
        <v>453</v>
      </c>
      <c r="K118" s="120"/>
      <c r="L118" s="152">
        <v>0.99</v>
      </c>
      <c r="M118" s="6"/>
      <c r="N118" s="3"/>
      <c r="O118" s="122"/>
      <c r="P118" s="122"/>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c r="AW118" s="121"/>
    </row>
    <row r="119" spans="2:50" x14ac:dyDescent="0.2">
      <c r="B119" s="3"/>
      <c r="C119" s="3"/>
      <c r="D119" s="118" t="s">
        <v>115</v>
      </c>
      <c r="E119" s="118"/>
      <c r="F119" s="118" t="s">
        <v>388</v>
      </c>
      <c r="G119" s="118">
        <f t="shared" si="20"/>
        <v>1.04</v>
      </c>
      <c r="H119" s="15"/>
      <c r="I119" s="15"/>
      <c r="J119" s="120" t="s">
        <v>454</v>
      </c>
      <c r="K119" s="120"/>
      <c r="L119" s="152">
        <v>1.1299999999999999</v>
      </c>
      <c r="M119" s="6"/>
      <c r="N119" s="3"/>
      <c r="O119" s="122"/>
      <c r="P119" s="122"/>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row>
    <row r="120" spans="2:50" x14ac:dyDescent="0.2">
      <c r="B120" s="3"/>
      <c r="C120" s="3"/>
      <c r="D120" s="118" t="s">
        <v>116</v>
      </c>
      <c r="E120" s="118"/>
      <c r="F120" s="118" t="s">
        <v>446</v>
      </c>
      <c r="G120" s="118">
        <f t="shared" si="20"/>
        <v>0.9</v>
      </c>
      <c r="H120" s="15"/>
      <c r="I120" s="15"/>
      <c r="J120" s="120" t="s">
        <v>455</v>
      </c>
      <c r="K120" s="120"/>
      <c r="L120" s="152">
        <v>0.88</v>
      </c>
      <c r="M120" s="6"/>
      <c r="N120" s="3"/>
      <c r="O120" s="122"/>
      <c r="P120" s="122"/>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row>
    <row r="121" spans="2:50" x14ac:dyDescent="0.2">
      <c r="B121" s="3"/>
      <c r="C121" s="3"/>
      <c r="D121" s="118" t="s">
        <v>117</v>
      </c>
      <c r="E121" s="118"/>
      <c r="F121" s="118" t="s">
        <v>401</v>
      </c>
      <c r="G121" s="118">
        <f t="shared" si="20"/>
        <v>1.1399999999999999</v>
      </c>
      <c r="H121" s="15"/>
      <c r="I121" s="15"/>
      <c r="J121" s="120" t="s">
        <v>357</v>
      </c>
      <c r="K121" s="120"/>
      <c r="L121" s="152">
        <v>0.98</v>
      </c>
      <c r="M121" s="6"/>
      <c r="N121" s="3"/>
      <c r="O121" s="122"/>
      <c r="P121" s="122"/>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1"/>
      <c r="AW121" s="121"/>
    </row>
    <row r="122" spans="2:50" x14ac:dyDescent="0.2">
      <c r="B122" s="3"/>
      <c r="C122" s="3"/>
      <c r="D122" s="118" t="s">
        <v>118</v>
      </c>
      <c r="E122" s="118"/>
      <c r="F122" s="118" t="s">
        <v>453</v>
      </c>
      <c r="G122" s="118">
        <f t="shared" si="20"/>
        <v>0.99</v>
      </c>
      <c r="H122" s="15"/>
      <c r="I122" s="15"/>
      <c r="J122" s="15"/>
      <c r="K122" s="15"/>
      <c r="L122" s="15"/>
      <c r="M122" s="6"/>
      <c r="N122" s="3"/>
      <c r="O122" s="122"/>
      <c r="P122" s="122"/>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row>
    <row r="123" spans="2:50" x14ac:dyDescent="0.2">
      <c r="B123" s="3"/>
      <c r="C123" s="3"/>
      <c r="D123" s="118" t="s">
        <v>119</v>
      </c>
      <c r="E123" s="118"/>
      <c r="F123" s="118" t="s">
        <v>410</v>
      </c>
      <c r="G123" s="118">
        <f t="shared" si="20"/>
        <v>1.24</v>
      </c>
      <c r="H123" s="15"/>
      <c r="I123" s="15"/>
      <c r="J123" s="15"/>
      <c r="K123" s="15"/>
      <c r="L123" s="15"/>
      <c r="M123" s="6"/>
      <c r="N123" s="3"/>
      <c r="O123" s="122"/>
      <c r="P123" s="122"/>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21"/>
      <c r="AQ123" s="121"/>
      <c r="AR123" s="121"/>
      <c r="AS123" s="121"/>
      <c r="AT123" s="121"/>
      <c r="AU123" s="121"/>
      <c r="AV123" s="121"/>
      <c r="AW123" s="121"/>
    </row>
    <row r="124" spans="2:50" x14ac:dyDescent="0.2">
      <c r="B124" s="3"/>
      <c r="C124" s="3"/>
      <c r="D124" s="118" t="s">
        <v>120</v>
      </c>
      <c r="E124" s="118"/>
      <c r="F124" s="118" t="s">
        <v>384</v>
      </c>
      <c r="G124" s="118">
        <f t="shared" si="20"/>
        <v>1</v>
      </c>
      <c r="H124" s="15"/>
      <c r="I124" s="15"/>
      <c r="J124" s="15"/>
      <c r="K124" s="15"/>
      <c r="L124" s="15"/>
      <c r="M124" s="6"/>
      <c r="O124" s="122"/>
      <c r="P124" s="122"/>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21"/>
      <c r="AO124" s="121"/>
      <c r="AP124" s="121"/>
      <c r="AQ124" s="121"/>
      <c r="AR124" s="121"/>
      <c r="AS124" s="121"/>
      <c r="AT124" s="121"/>
      <c r="AU124" s="121"/>
      <c r="AV124" s="121"/>
      <c r="AW124" s="121"/>
    </row>
    <row r="125" spans="2:50" x14ac:dyDescent="0.2">
      <c r="B125" s="3"/>
      <c r="C125" s="3"/>
      <c r="D125" s="118" t="s">
        <v>121</v>
      </c>
      <c r="E125" s="118"/>
      <c r="F125" s="118" t="s">
        <v>389</v>
      </c>
      <c r="G125" s="118">
        <f t="shared" si="20"/>
        <v>0.97</v>
      </c>
      <c r="H125" s="15"/>
      <c r="I125" s="15"/>
      <c r="J125" s="123"/>
      <c r="K125" s="123"/>
      <c r="L125" s="123"/>
      <c r="M125" s="124"/>
      <c r="N125" s="121"/>
      <c r="O125" s="122"/>
      <c r="P125" s="122"/>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row>
    <row r="126" spans="2:50" x14ac:dyDescent="0.2">
      <c r="B126" s="3"/>
      <c r="C126" s="3"/>
      <c r="D126" s="118" t="s">
        <v>122</v>
      </c>
      <c r="E126" s="118"/>
      <c r="F126" s="118" t="s">
        <v>390</v>
      </c>
      <c r="G126" s="118">
        <f t="shared" si="20"/>
        <v>1</v>
      </c>
      <c r="H126" s="15"/>
      <c r="I126" s="15"/>
      <c r="J126" s="123"/>
      <c r="K126" s="123"/>
      <c r="L126" s="123"/>
      <c r="M126" s="124"/>
      <c r="N126" s="121"/>
      <c r="O126" s="122"/>
      <c r="P126" s="122"/>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row>
    <row r="127" spans="2:50" x14ac:dyDescent="0.2">
      <c r="B127" s="3"/>
      <c r="C127" s="3"/>
      <c r="D127" s="118" t="s">
        <v>123</v>
      </c>
      <c r="E127" s="118"/>
      <c r="F127" s="118" t="s">
        <v>397</v>
      </c>
      <c r="G127" s="118">
        <f t="shared" si="20"/>
        <v>1.1000000000000001</v>
      </c>
      <c r="H127" s="15"/>
      <c r="I127" s="15"/>
      <c r="J127" s="123"/>
      <c r="K127" s="123"/>
      <c r="L127" s="123"/>
      <c r="M127" s="124"/>
      <c r="N127" s="121"/>
      <c r="O127" s="122"/>
      <c r="P127" s="122"/>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row>
    <row r="128" spans="2:50" x14ac:dyDescent="0.2">
      <c r="B128" s="3"/>
      <c r="C128" s="3"/>
      <c r="D128" s="118" t="s">
        <v>124</v>
      </c>
      <c r="E128" s="118"/>
      <c r="F128" s="118" t="s">
        <v>399</v>
      </c>
      <c r="G128" s="118">
        <f t="shared" si="20"/>
        <v>1.07</v>
      </c>
      <c r="H128" s="15"/>
      <c r="I128" s="15"/>
      <c r="J128" s="123"/>
      <c r="K128" s="123"/>
      <c r="L128" s="123"/>
      <c r="M128" s="124"/>
      <c r="N128" s="121"/>
      <c r="O128" s="122"/>
      <c r="P128" s="122"/>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row>
    <row r="129" spans="2:50" x14ac:dyDescent="0.2">
      <c r="B129" s="3"/>
      <c r="C129" s="3"/>
      <c r="D129" s="118" t="s">
        <v>125</v>
      </c>
      <c r="E129" s="118"/>
      <c r="F129" s="118" t="s">
        <v>435</v>
      </c>
      <c r="G129" s="118">
        <f t="shared" si="20"/>
        <v>1.03</v>
      </c>
      <c r="H129" s="15"/>
      <c r="I129" s="15"/>
      <c r="J129" s="123"/>
      <c r="K129" s="123"/>
      <c r="L129" s="123"/>
      <c r="M129" s="124"/>
      <c r="N129" s="121"/>
      <c r="O129" s="122"/>
      <c r="P129" s="122"/>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row>
    <row r="130" spans="2:50" x14ac:dyDescent="0.2">
      <c r="B130" s="3"/>
      <c r="C130" s="3"/>
      <c r="D130" s="118" t="s">
        <v>126</v>
      </c>
      <c r="E130" s="118"/>
      <c r="F130" s="118" t="s">
        <v>440</v>
      </c>
      <c r="G130" s="118">
        <f t="shared" si="20"/>
        <v>1.08</v>
      </c>
      <c r="H130" s="15"/>
      <c r="I130" s="15"/>
      <c r="J130" s="123"/>
      <c r="K130" s="123"/>
      <c r="L130" s="123"/>
      <c r="M130" s="124"/>
      <c r="N130" s="121"/>
      <c r="O130" s="122"/>
      <c r="P130" s="122"/>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row>
    <row r="131" spans="2:50" x14ac:dyDescent="0.2">
      <c r="B131" s="3"/>
      <c r="C131" s="3"/>
      <c r="D131" s="118" t="s">
        <v>127</v>
      </c>
      <c r="E131" s="118"/>
      <c r="F131" s="118" t="s">
        <v>400</v>
      </c>
      <c r="G131" s="118">
        <f t="shared" si="20"/>
        <v>0.89</v>
      </c>
      <c r="H131" s="15"/>
      <c r="I131" s="15"/>
      <c r="J131" s="123"/>
      <c r="K131" s="123"/>
      <c r="L131" s="123"/>
      <c r="M131" s="124"/>
      <c r="N131" s="121"/>
      <c r="O131" s="122"/>
      <c r="P131" s="122"/>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row>
    <row r="132" spans="2:50" x14ac:dyDescent="0.2">
      <c r="B132" s="3"/>
      <c r="C132" s="3"/>
      <c r="D132" s="118" t="s">
        <v>128</v>
      </c>
      <c r="E132" s="118"/>
      <c r="F132" s="118" t="s">
        <v>447</v>
      </c>
      <c r="G132" s="118">
        <f t="shared" si="20"/>
        <v>0.97</v>
      </c>
      <c r="H132" s="15"/>
      <c r="I132" s="15"/>
      <c r="J132" s="123"/>
      <c r="K132" s="123"/>
      <c r="L132" s="123"/>
      <c r="M132" s="124"/>
      <c r="N132" s="121"/>
      <c r="O132" s="122"/>
      <c r="P132" s="122"/>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row>
    <row r="133" spans="2:50" x14ac:dyDescent="0.2">
      <c r="B133" s="3"/>
      <c r="C133" s="3"/>
      <c r="D133" s="118" t="s">
        <v>129</v>
      </c>
      <c r="E133" s="118"/>
      <c r="F133" s="118" t="s">
        <v>392</v>
      </c>
      <c r="G133" s="118">
        <f t="shared" si="20"/>
        <v>1.1399999999999999</v>
      </c>
      <c r="H133" s="15"/>
      <c r="I133" s="15"/>
      <c r="J133" s="123"/>
      <c r="K133" s="123"/>
      <c r="L133" s="123"/>
      <c r="M133" s="124"/>
      <c r="N133" s="121"/>
      <c r="O133" s="122"/>
      <c r="P133" s="122"/>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row>
    <row r="134" spans="2:50" x14ac:dyDescent="0.2">
      <c r="B134" s="3"/>
      <c r="C134" s="3"/>
      <c r="D134" s="118" t="s">
        <v>130</v>
      </c>
      <c r="E134" s="118"/>
      <c r="F134" s="118" t="s">
        <v>397</v>
      </c>
      <c r="G134" s="118">
        <f t="shared" si="20"/>
        <v>1.1000000000000001</v>
      </c>
      <c r="H134" s="15"/>
      <c r="I134" s="15"/>
      <c r="J134" s="123"/>
      <c r="K134" s="123"/>
      <c r="L134" s="123"/>
      <c r="M134" s="124"/>
      <c r="N134" s="121"/>
      <c r="O134" s="122"/>
      <c r="P134" s="122"/>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row>
    <row r="135" spans="2:50" x14ac:dyDescent="0.2">
      <c r="B135" s="3"/>
      <c r="C135" s="3"/>
      <c r="D135" s="118" t="s">
        <v>131</v>
      </c>
      <c r="E135" s="118"/>
      <c r="F135" s="118" t="s">
        <v>387</v>
      </c>
      <c r="G135" s="118">
        <f t="shared" si="20"/>
        <v>1.04</v>
      </c>
      <c r="H135" s="15"/>
      <c r="I135" s="15"/>
      <c r="J135" s="123"/>
      <c r="K135" s="123"/>
      <c r="L135" s="123"/>
      <c r="M135" s="124"/>
      <c r="N135" s="121"/>
      <c r="O135" s="122"/>
      <c r="P135" s="122"/>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row>
    <row r="136" spans="2:50" x14ac:dyDescent="0.2">
      <c r="B136" s="3"/>
      <c r="C136" s="3"/>
      <c r="D136" s="118" t="s">
        <v>132</v>
      </c>
      <c r="E136" s="118"/>
      <c r="F136" s="118" t="s">
        <v>449</v>
      </c>
      <c r="G136" s="118">
        <f t="shared" si="20"/>
        <v>1.19</v>
      </c>
      <c r="H136" s="15"/>
      <c r="I136" s="15"/>
      <c r="J136" s="123"/>
      <c r="K136" s="123"/>
      <c r="L136" s="123"/>
      <c r="M136" s="124"/>
      <c r="N136" s="121"/>
      <c r="O136" s="122"/>
      <c r="P136" s="122"/>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c r="AW136" s="121"/>
      <c r="AX136" s="121"/>
    </row>
    <row r="137" spans="2:50" x14ac:dyDescent="0.2">
      <c r="B137" s="3"/>
      <c r="C137" s="3"/>
      <c r="D137" s="118" t="s">
        <v>133</v>
      </c>
      <c r="E137" s="118"/>
      <c r="F137" s="118" t="s">
        <v>411</v>
      </c>
      <c r="G137" s="118">
        <f t="shared" si="20"/>
        <v>1.1499999999999999</v>
      </c>
      <c r="H137" s="15"/>
      <c r="I137" s="15"/>
      <c r="J137" s="123"/>
      <c r="K137" s="123"/>
      <c r="L137" s="123"/>
      <c r="M137" s="124"/>
      <c r="N137" s="121"/>
      <c r="O137" s="122"/>
      <c r="P137" s="122"/>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c r="AP137" s="121"/>
      <c r="AQ137" s="121"/>
      <c r="AR137" s="121"/>
      <c r="AS137" s="121"/>
      <c r="AT137" s="121"/>
      <c r="AU137" s="121"/>
      <c r="AV137" s="121"/>
      <c r="AW137" s="121"/>
      <c r="AX137" s="121"/>
    </row>
    <row r="138" spans="2:50" x14ac:dyDescent="0.2">
      <c r="B138" s="3"/>
      <c r="C138" s="3"/>
      <c r="D138" s="118" t="s">
        <v>134</v>
      </c>
      <c r="E138" s="118"/>
      <c r="F138" s="118" t="s">
        <v>394</v>
      </c>
      <c r="G138" s="118">
        <f t="shared" si="20"/>
        <v>1.04</v>
      </c>
      <c r="H138" s="15"/>
      <c r="I138" s="15"/>
      <c r="J138" s="123"/>
      <c r="K138" s="123"/>
      <c r="L138" s="123"/>
      <c r="M138" s="124"/>
      <c r="N138" s="121"/>
      <c r="O138" s="122"/>
      <c r="P138" s="122"/>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c r="AP138" s="121"/>
      <c r="AQ138" s="121"/>
      <c r="AR138" s="121"/>
      <c r="AS138" s="121"/>
      <c r="AT138" s="121"/>
      <c r="AU138" s="121"/>
      <c r="AV138" s="121"/>
      <c r="AW138" s="121"/>
      <c r="AX138" s="121"/>
    </row>
    <row r="139" spans="2:50" x14ac:dyDescent="0.2">
      <c r="B139" s="3"/>
      <c r="C139" s="3"/>
      <c r="D139" s="118" t="s">
        <v>135</v>
      </c>
      <c r="E139" s="118"/>
      <c r="F139" s="118" t="s">
        <v>449</v>
      </c>
      <c r="G139" s="118">
        <f t="shared" si="20"/>
        <v>1.19</v>
      </c>
      <c r="H139" s="15"/>
      <c r="I139" s="15"/>
      <c r="J139" s="123"/>
      <c r="K139" s="123"/>
      <c r="L139" s="123"/>
      <c r="M139" s="124"/>
      <c r="N139" s="121"/>
      <c r="O139" s="122"/>
      <c r="P139" s="122"/>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row>
    <row r="140" spans="2:50" x14ac:dyDescent="0.2">
      <c r="B140" s="3"/>
      <c r="C140" s="3"/>
      <c r="D140" s="118" t="s">
        <v>136</v>
      </c>
      <c r="E140" s="118"/>
      <c r="F140" s="118" t="s">
        <v>388</v>
      </c>
      <c r="G140" s="118">
        <f t="shared" si="20"/>
        <v>1.04</v>
      </c>
      <c r="H140" s="15"/>
      <c r="I140" s="15"/>
      <c r="J140" s="123"/>
      <c r="K140" s="123"/>
      <c r="L140" s="123"/>
      <c r="M140" s="124"/>
      <c r="N140" s="121"/>
      <c r="O140" s="122"/>
      <c r="P140" s="122"/>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c r="AP140" s="121"/>
      <c r="AQ140" s="121"/>
      <c r="AR140" s="121"/>
      <c r="AS140" s="121"/>
      <c r="AT140" s="121"/>
      <c r="AU140" s="121"/>
      <c r="AV140" s="121"/>
      <c r="AW140" s="121"/>
      <c r="AX140" s="121"/>
    </row>
    <row r="141" spans="2:50" x14ac:dyDescent="0.2">
      <c r="B141" s="3"/>
      <c r="C141" s="3"/>
      <c r="D141" s="118" t="s">
        <v>137</v>
      </c>
      <c r="E141" s="118"/>
      <c r="F141" s="118" t="s">
        <v>389</v>
      </c>
      <c r="G141" s="118">
        <f t="shared" si="20"/>
        <v>0.97</v>
      </c>
      <c r="H141" s="15"/>
      <c r="I141" s="15"/>
      <c r="J141" s="123"/>
      <c r="K141" s="123"/>
      <c r="L141" s="123"/>
      <c r="M141" s="124"/>
      <c r="N141" s="121"/>
      <c r="O141" s="122"/>
      <c r="P141" s="122"/>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c r="AP141" s="121"/>
      <c r="AQ141" s="121"/>
      <c r="AR141" s="121"/>
      <c r="AS141" s="121"/>
      <c r="AT141" s="121"/>
      <c r="AU141" s="121"/>
      <c r="AV141" s="121"/>
      <c r="AW141" s="121"/>
      <c r="AX141" s="121"/>
    </row>
    <row r="142" spans="2:50" x14ac:dyDescent="0.2">
      <c r="B142" s="3"/>
      <c r="C142" s="3"/>
      <c r="D142" s="118" t="s">
        <v>138</v>
      </c>
      <c r="E142" s="118"/>
      <c r="F142" s="118" t="s">
        <v>445</v>
      </c>
      <c r="G142" s="118">
        <f t="shared" si="20"/>
        <v>0.96</v>
      </c>
      <c r="H142" s="15"/>
      <c r="I142" s="15"/>
      <c r="J142" s="123"/>
      <c r="K142" s="123"/>
      <c r="L142" s="123"/>
      <c r="M142" s="124"/>
      <c r="N142" s="121"/>
      <c r="O142" s="122"/>
      <c r="P142" s="122"/>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row>
    <row r="143" spans="2:50" x14ac:dyDescent="0.2">
      <c r="B143" s="3"/>
      <c r="C143" s="3"/>
      <c r="D143" s="118" t="s">
        <v>139</v>
      </c>
      <c r="E143" s="118"/>
      <c r="F143" s="118" t="s">
        <v>397</v>
      </c>
      <c r="G143" s="118">
        <f t="shared" si="20"/>
        <v>1.1000000000000001</v>
      </c>
      <c r="H143" s="15"/>
      <c r="I143" s="15"/>
      <c r="J143" s="123"/>
      <c r="K143" s="123"/>
      <c r="L143" s="123"/>
      <c r="M143" s="124"/>
      <c r="N143" s="121"/>
      <c r="O143" s="122"/>
      <c r="P143" s="122"/>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row>
    <row r="144" spans="2:50" x14ac:dyDescent="0.2">
      <c r="B144" s="3"/>
      <c r="C144" s="3"/>
      <c r="D144" s="118" t="s">
        <v>140</v>
      </c>
      <c r="E144" s="118"/>
      <c r="F144" s="118" t="s">
        <v>384</v>
      </c>
      <c r="G144" s="118">
        <f t="shared" si="20"/>
        <v>1</v>
      </c>
      <c r="H144" s="15"/>
      <c r="I144" s="15"/>
      <c r="J144" s="123"/>
      <c r="K144" s="123"/>
      <c r="L144" s="123"/>
      <c r="M144" s="124"/>
      <c r="N144" s="121"/>
      <c r="O144" s="122"/>
      <c r="P144" s="122"/>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row>
    <row r="145" spans="2:50" x14ac:dyDescent="0.2">
      <c r="B145" s="3"/>
      <c r="C145" s="3"/>
      <c r="D145" s="118" t="s">
        <v>141</v>
      </c>
      <c r="E145" s="118"/>
      <c r="F145" s="118" t="s">
        <v>448</v>
      </c>
      <c r="G145" s="118">
        <f t="shared" si="20"/>
        <v>0.98</v>
      </c>
      <c r="H145" s="15"/>
      <c r="I145" s="15"/>
      <c r="J145" s="123"/>
      <c r="K145" s="123"/>
      <c r="L145" s="123"/>
      <c r="M145" s="124"/>
      <c r="N145" s="121"/>
      <c r="O145" s="122"/>
      <c r="P145" s="122"/>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row>
    <row r="146" spans="2:50" x14ac:dyDescent="0.2">
      <c r="B146" s="3"/>
      <c r="C146" s="3"/>
      <c r="D146" s="118" t="s">
        <v>142</v>
      </c>
      <c r="E146" s="118"/>
      <c r="F146" s="118" t="s">
        <v>395</v>
      </c>
      <c r="G146" s="118">
        <f t="shared" si="20"/>
        <v>0.9</v>
      </c>
      <c r="H146" s="15"/>
      <c r="I146" s="15"/>
      <c r="J146" s="123"/>
      <c r="K146" s="123"/>
      <c r="L146" s="123"/>
      <c r="M146" s="124"/>
      <c r="N146" s="121"/>
      <c r="O146" s="122"/>
      <c r="P146" s="122"/>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row>
    <row r="147" spans="2:50" x14ac:dyDescent="0.2">
      <c r="B147" s="3"/>
      <c r="C147" s="3"/>
      <c r="D147" s="118" t="s">
        <v>143</v>
      </c>
      <c r="E147" s="118"/>
      <c r="F147" s="118" t="s">
        <v>402</v>
      </c>
      <c r="G147" s="118">
        <f t="shared" si="20"/>
        <v>1.02</v>
      </c>
      <c r="H147" s="15"/>
      <c r="I147" s="15"/>
      <c r="J147" s="123"/>
      <c r="K147" s="123"/>
      <c r="L147" s="123"/>
      <c r="M147" s="124"/>
      <c r="N147" s="121"/>
      <c r="O147" s="122"/>
      <c r="P147" s="122"/>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row>
    <row r="148" spans="2:50" x14ac:dyDescent="0.2">
      <c r="B148" s="3"/>
      <c r="C148" s="3"/>
      <c r="D148" s="118" t="s">
        <v>144</v>
      </c>
      <c r="E148" s="118"/>
      <c r="F148" s="118" t="s">
        <v>450</v>
      </c>
      <c r="G148" s="118">
        <f t="shared" si="20"/>
        <v>0.96</v>
      </c>
      <c r="H148" s="15"/>
      <c r="I148" s="15"/>
      <c r="J148" s="123"/>
      <c r="K148" s="123"/>
      <c r="L148" s="123"/>
      <c r="M148" s="124"/>
      <c r="N148" s="121"/>
      <c r="O148" s="122"/>
      <c r="P148" s="122"/>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row>
    <row r="149" spans="2:50" x14ac:dyDescent="0.2">
      <c r="B149" s="3"/>
      <c r="C149" s="3"/>
      <c r="D149" s="118" t="s">
        <v>145</v>
      </c>
      <c r="E149" s="118"/>
      <c r="F149" s="118" t="s">
        <v>442</v>
      </c>
      <c r="G149" s="118">
        <f t="shared" si="20"/>
        <v>1.02</v>
      </c>
      <c r="H149" s="15"/>
      <c r="I149" s="15"/>
      <c r="J149" s="123"/>
      <c r="K149" s="123"/>
      <c r="L149" s="123"/>
      <c r="M149" s="124"/>
      <c r="N149" s="121"/>
      <c r="O149" s="122"/>
      <c r="P149" s="122"/>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row>
    <row r="150" spans="2:50" x14ac:dyDescent="0.2">
      <c r="B150" s="3"/>
      <c r="C150" s="3"/>
      <c r="D150" s="118" t="s">
        <v>146</v>
      </c>
      <c r="E150" s="118"/>
      <c r="F150" s="118" t="s">
        <v>395</v>
      </c>
      <c r="G150" s="118">
        <f t="shared" si="20"/>
        <v>0.9</v>
      </c>
      <c r="H150" s="15"/>
      <c r="I150" s="15"/>
      <c r="J150" s="123"/>
      <c r="K150" s="123"/>
      <c r="L150" s="123"/>
      <c r="M150" s="124"/>
      <c r="N150" s="121"/>
      <c r="O150" s="122"/>
      <c r="P150" s="122"/>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row>
    <row r="151" spans="2:50" x14ac:dyDescent="0.2">
      <c r="B151" s="3"/>
      <c r="C151" s="3"/>
      <c r="D151" s="118" t="s">
        <v>147</v>
      </c>
      <c r="E151" s="118"/>
      <c r="F151" s="118" t="s">
        <v>397</v>
      </c>
      <c r="G151" s="118">
        <f t="shared" si="20"/>
        <v>1.1000000000000001</v>
      </c>
      <c r="H151" s="15"/>
      <c r="I151" s="15"/>
      <c r="J151" s="123"/>
      <c r="K151" s="123"/>
      <c r="L151" s="123"/>
      <c r="M151" s="124"/>
      <c r="N151" s="121"/>
      <c r="O151" s="122"/>
      <c r="P151" s="122"/>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row>
    <row r="152" spans="2:50" x14ac:dyDescent="0.2">
      <c r="B152" s="3"/>
      <c r="C152" s="3"/>
      <c r="D152" s="118" t="s">
        <v>148</v>
      </c>
      <c r="E152" s="118"/>
      <c r="F152" s="118" t="s">
        <v>401</v>
      </c>
      <c r="G152" s="118">
        <f t="shared" si="20"/>
        <v>1.1399999999999999</v>
      </c>
      <c r="H152" s="15"/>
      <c r="I152" s="15"/>
      <c r="J152" s="123"/>
      <c r="K152" s="123"/>
      <c r="L152" s="123"/>
      <c r="M152" s="124"/>
      <c r="N152" s="121"/>
      <c r="O152" s="122"/>
      <c r="P152" s="122"/>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row>
    <row r="153" spans="2:50" x14ac:dyDescent="0.2">
      <c r="B153" s="3"/>
      <c r="C153" s="3"/>
      <c r="D153" s="118" t="s">
        <v>149</v>
      </c>
      <c r="E153" s="118"/>
      <c r="F153" s="118" t="s">
        <v>438</v>
      </c>
      <c r="G153" s="118">
        <f t="shared" si="20"/>
        <v>0.96</v>
      </c>
      <c r="H153" s="15"/>
      <c r="I153" s="15"/>
      <c r="J153" s="123"/>
      <c r="K153" s="123"/>
      <c r="L153" s="123"/>
      <c r="M153" s="124"/>
      <c r="N153" s="121"/>
      <c r="O153" s="122"/>
      <c r="P153" s="122"/>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row>
    <row r="154" spans="2:50" x14ac:dyDescent="0.2">
      <c r="B154" s="3"/>
      <c r="C154" s="3"/>
      <c r="D154" s="118" t="s">
        <v>150</v>
      </c>
      <c r="E154" s="118"/>
      <c r="F154" s="118" t="s">
        <v>412</v>
      </c>
      <c r="G154" s="118">
        <f t="shared" si="20"/>
        <v>1.21</v>
      </c>
      <c r="H154" s="15"/>
      <c r="I154" s="15"/>
      <c r="J154" s="123"/>
      <c r="K154" s="123"/>
      <c r="L154" s="123"/>
      <c r="M154" s="124"/>
      <c r="N154" s="121"/>
      <c r="O154" s="122"/>
      <c r="P154" s="122"/>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row>
    <row r="155" spans="2:50" x14ac:dyDescent="0.2">
      <c r="B155" s="3"/>
      <c r="C155" s="3"/>
      <c r="D155" s="118" t="s">
        <v>151</v>
      </c>
      <c r="E155" s="118"/>
      <c r="F155" s="118" t="s">
        <v>449</v>
      </c>
      <c r="G155" s="118">
        <f t="shared" si="20"/>
        <v>1.19</v>
      </c>
      <c r="H155" s="15"/>
      <c r="I155" s="15"/>
      <c r="J155" s="123"/>
      <c r="K155" s="123"/>
      <c r="L155" s="123"/>
      <c r="M155" s="124"/>
      <c r="N155" s="121"/>
      <c r="O155" s="122"/>
      <c r="P155" s="122"/>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row>
    <row r="156" spans="2:50" x14ac:dyDescent="0.2">
      <c r="B156" s="3"/>
      <c r="C156" s="3"/>
      <c r="D156" s="118" t="s">
        <v>152</v>
      </c>
      <c r="E156" s="118"/>
      <c r="F156" s="118" t="s">
        <v>413</v>
      </c>
      <c r="G156" s="118">
        <f t="shared" si="20"/>
        <v>1.23</v>
      </c>
      <c r="H156" s="15"/>
      <c r="I156" s="15"/>
      <c r="J156" s="123"/>
      <c r="K156" s="123"/>
      <c r="L156" s="123"/>
      <c r="M156" s="124"/>
      <c r="N156" s="121"/>
      <c r="O156" s="122"/>
      <c r="P156" s="122"/>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row>
    <row r="157" spans="2:50" x14ac:dyDescent="0.2">
      <c r="B157" s="3"/>
      <c r="C157" s="3"/>
      <c r="D157" s="118" t="s">
        <v>153</v>
      </c>
      <c r="E157" s="118"/>
      <c r="F157" s="118" t="s">
        <v>385</v>
      </c>
      <c r="G157" s="118">
        <f t="shared" si="20"/>
        <v>1.03</v>
      </c>
      <c r="H157" s="15"/>
      <c r="I157" s="15"/>
      <c r="J157" s="123"/>
      <c r="K157" s="123"/>
      <c r="L157" s="123"/>
      <c r="M157" s="124"/>
      <c r="N157" s="121"/>
      <c r="O157" s="122"/>
      <c r="P157" s="122"/>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row>
    <row r="158" spans="2:50" x14ac:dyDescent="0.2">
      <c r="B158" s="3"/>
      <c r="C158" s="3"/>
      <c r="D158" s="118" t="s">
        <v>154</v>
      </c>
      <c r="E158" s="118"/>
      <c r="F158" s="118" t="s">
        <v>439</v>
      </c>
      <c r="G158" s="118">
        <f t="shared" si="20"/>
        <v>0.94</v>
      </c>
      <c r="H158" s="15"/>
      <c r="I158" s="15"/>
      <c r="J158" s="123"/>
      <c r="K158" s="123"/>
      <c r="L158" s="123"/>
      <c r="M158" s="124"/>
      <c r="N158" s="121"/>
      <c r="O158" s="122"/>
      <c r="P158" s="122"/>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row>
    <row r="159" spans="2:50" x14ac:dyDescent="0.2">
      <c r="B159" s="3"/>
      <c r="C159" s="3"/>
      <c r="D159" s="118" t="s">
        <v>155</v>
      </c>
      <c r="E159" s="118"/>
      <c r="F159" s="118" t="s">
        <v>414</v>
      </c>
      <c r="G159" s="118">
        <f t="shared" si="20"/>
        <v>1.26</v>
      </c>
      <c r="H159" s="15"/>
      <c r="I159" s="15"/>
      <c r="J159" s="123"/>
      <c r="K159" s="123"/>
      <c r="L159" s="123"/>
      <c r="M159" s="124"/>
      <c r="N159" s="121"/>
      <c r="O159" s="122"/>
      <c r="P159" s="122"/>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row>
    <row r="160" spans="2:50" x14ac:dyDescent="0.2">
      <c r="B160" s="3"/>
      <c r="C160" s="3"/>
      <c r="D160" s="118" t="s">
        <v>156</v>
      </c>
      <c r="E160" s="118"/>
      <c r="F160" s="118" t="s">
        <v>434</v>
      </c>
      <c r="G160" s="118">
        <f t="shared" si="20"/>
        <v>1.03</v>
      </c>
      <c r="H160" s="15"/>
      <c r="I160" s="15"/>
      <c r="J160" s="123"/>
      <c r="K160" s="123"/>
      <c r="L160" s="123"/>
      <c r="M160" s="124"/>
      <c r="N160" s="121"/>
      <c r="O160" s="122"/>
      <c r="P160" s="122"/>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row>
    <row r="161" spans="2:50" x14ac:dyDescent="0.2">
      <c r="B161" s="3"/>
      <c r="C161" s="3"/>
      <c r="D161" s="118" t="s">
        <v>157</v>
      </c>
      <c r="E161" s="118"/>
      <c r="F161" s="118" t="s">
        <v>415</v>
      </c>
      <c r="G161" s="118">
        <f t="shared" si="20"/>
        <v>1.26</v>
      </c>
      <c r="H161" s="15"/>
      <c r="I161" s="15"/>
      <c r="J161" s="123"/>
      <c r="K161" s="123"/>
      <c r="L161" s="123"/>
      <c r="M161" s="124"/>
      <c r="N161" s="121"/>
      <c r="O161" s="122"/>
      <c r="P161" s="122"/>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121"/>
      <c r="AM161" s="121"/>
      <c r="AN161" s="121"/>
      <c r="AO161" s="121"/>
      <c r="AP161" s="121"/>
      <c r="AQ161" s="121"/>
      <c r="AR161" s="121"/>
      <c r="AS161" s="121"/>
      <c r="AT161" s="121"/>
      <c r="AU161" s="121"/>
      <c r="AV161" s="121"/>
      <c r="AW161" s="121"/>
      <c r="AX161" s="121"/>
    </row>
    <row r="162" spans="2:50" x14ac:dyDescent="0.2">
      <c r="B162" s="3"/>
      <c r="C162" s="3"/>
      <c r="D162" s="118" t="s">
        <v>158</v>
      </c>
      <c r="E162" s="118"/>
      <c r="F162" s="118" t="s">
        <v>394</v>
      </c>
      <c r="G162" s="118">
        <f t="shared" si="20"/>
        <v>1.04</v>
      </c>
      <c r="H162" s="15"/>
      <c r="I162" s="15"/>
      <c r="J162" s="123"/>
      <c r="K162" s="123"/>
      <c r="L162" s="123"/>
      <c r="M162" s="124"/>
      <c r="N162" s="121"/>
      <c r="O162" s="122"/>
      <c r="P162" s="122"/>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1"/>
      <c r="AV162" s="121"/>
      <c r="AW162" s="121"/>
      <c r="AX162" s="121"/>
    </row>
    <row r="163" spans="2:50" x14ac:dyDescent="0.2">
      <c r="B163" s="3"/>
      <c r="C163" s="3"/>
      <c r="D163" s="118" t="s">
        <v>159</v>
      </c>
      <c r="E163" s="118"/>
      <c r="F163" s="118" t="s">
        <v>439</v>
      </c>
      <c r="G163" s="118">
        <f t="shared" si="20"/>
        <v>0.94</v>
      </c>
      <c r="H163" s="15"/>
      <c r="I163" s="15"/>
      <c r="J163" s="123"/>
      <c r="K163" s="123"/>
      <c r="L163" s="123"/>
      <c r="M163" s="124"/>
      <c r="N163" s="121"/>
      <c r="O163" s="122"/>
      <c r="P163" s="122"/>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121"/>
      <c r="AM163" s="121"/>
      <c r="AN163" s="121"/>
      <c r="AO163" s="121"/>
      <c r="AP163" s="121"/>
      <c r="AQ163" s="121"/>
      <c r="AR163" s="121"/>
      <c r="AS163" s="121"/>
      <c r="AT163" s="121"/>
      <c r="AU163" s="121"/>
      <c r="AV163" s="121"/>
      <c r="AW163" s="121"/>
      <c r="AX163" s="121"/>
    </row>
    <row r="164" spans="2:50" x14ac:dyDescent="0.2">
      <c r="B164" s="3"/>
      <c r="C164" s="3"/>
      <c r="D164" s="118" t="s">
        <v>160</v>
      </c>
      <c r="E164" s="118"/>
      <c r="F164" s="118" t="s">
        <v>416</v>
      </c>
      <c r="G164" s="118">
        <f t="shared" si="20"/>
        <v>1.1399999999999999</v>
      </c>
      <c r="H164" s="15"/>
      <c r="I164" s="15"/>
      <c r="J164" s="123"/>
      <c r="K164" s="123"/>
      <c r="L164" s="123"/>
      <c r="M164" s="124"/>
      <c r="N164" s="121"/>
      <c r="O164" s="122"/>
      <c r="P164" s="122"/>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row>
    <row r="165" spans="2:50" x14ac:dyDescent="0.2">
      <c r="B165" s="3"/>
      <c r="C165" s="3"/>
      <c r="D165" s="118" t="s">
        <v>161</v>
      </c>
      <c r="E165" s="118"/>
      <c r="F165" s="118" t="s">
        <v>397</v>
      </c>
      <c r="G165" s="118">
        <f t="shared" si="20"/>
        <v>1.1000000000000001</v>
      </c>
      <c r="H165" s="15"/>
      <c r="I165" s="15"/>
      <c r="J165" s="123"/>
      <c r="K165" s="123"/>
      <c r="L165" s="123"/>
      <c r="M165" s="124"/>
      <c r="N165" s="121"/>
      <c r="O165" s="122"/>
      <c r="P165" s="122"/>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row>
    <row r="166" spans="2:50" x14ac:dyDescent="0.2">
      <c r="B166" s="3"/>
      <c r="C166" s="3"/>
      <c r="D166" s="118" t="s">
        <v>162</v>
      </c>
      <c r="E166" s="118"/>
      <c r="F166" s="118" t="s">
        <v>391</v>
      </c>
      <c r="G166" s="118">
        <f t="shared" si="20"/>
        <v>0.98</v>
      </c>
      <c r="H166" s="15"/>
      <c r="I166" s="15"/>
      <c r="J166" s="123"/>
      <c r="K166" s="123"/>
      <c r="L166" s="123"/>
      <c r="M166" s="124"/>
      <c r="N166" s="121"/>
      <c r="O166" s="122"/>
      <c r="P166" s="122"/>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c r="AN166" s="121"/>
      <c r="AO166" s="121"/>
      <c r="AP166" s="121"/>
      <c r="AQ166" s="121"/>
      <c r="AR166" s="121"/>
      <c r="AS166" s="121"/>
      <c r="AT166" s="121"/>
      <c r="AU166" s="121"/>
      <c r="AV166" s="121"/>
      <c r="AW166" s="121"/>
      <c r="AX166" s="121"/>
    </row>
    <row r="167" spans="2:50" x14ac:dyDescent="0.2">
      <c r="B167" s="3"/>
      <c r="C167" s="3"/>
      <c r="D167" s="118" t="s">
        <v>163</v>
      </c>
      <c r="E167" s="118"/>
      <c r="F167" s="118" t="s">
        <v>392</v>
      </c>
      <c r="G167" s="118">
        <f t="shared" si="20"/>
        <v>1.1399999999999999</v>
      </c>
      <c r="H167" s="15"/>
      <c r="I167" s="15"/>
      <c r="J167" s="123"/>
      <c r="K167" s="123"/>
      <c r="L167" s="123"/>
      <c r="M167" s="124"/>
      <c r="N167" s="121"/>
      <c r="O167" s="122"/>
      <c r="P167" s="122"/>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c r="AN167" s="121"/>
      <c r="AO167" s="121"/>
      <c r="AP167" s="121"/>
      <c r="AQ167" s="121"/>
      <c r="AR167" s="121"/>
      <c r="AS167" s="121"/>
      <c r="AT167" s="121"/>
      <c r="AU167" s="121"/>
      <c r="AV167" s="121"/>
      <c r="AW167" s="121"/>
      <c r="AX167" s="121"/>
    </row>
    <row r="168" spans="2:50" x14ac:dyDescent="0.2">
      <c r="B168" s="3"/>
      <c r="C168" s="3"/>
      <c r="D168" s="118" t="s">
        <v>164</v>
      </c>
      <c r="E168" s="118"/>
      <c r="F168" s="118" t="s">
        <v>397</v>
      </c>
      <c r="G168" s="118">
        <f t="shared" si="20"/>
        <v>1.1000000000000001</v>
      </c>
      <c r="H168" s="15"/>
      <c r="I168" s="15"/>
      <c r="J168" s="123"/>
      <c r="K168" s="123"/>
      <c r="L168" s="123"/>
      <c r="M168" s="124"/>
      <c r="N168" s="121"/>
      <c r="O168" s="122"/>
      <c r="P168" s="122"/>
      <c r="Q168" s="121"/>
      <c r="R168" s="121"/>
      <c r="S168" s="121"/>
      <c r="T168" s="121"/>
      <c r="U168" s="121"/>
      <c r="V168" s="121"/>
      <c r="W168" s="121"/>
      <c r="X168" s="121"/>
      <c r="Y168" s="121"/>
      <c r="Z168" s="121"/>
      <c r="AA168" s="121"/>
      <c r="AB168" s="121"/>
      <c r="AC168" s="121"/>
      <c r="AD168" s="121"/>
      <c r="AE168" s="121"/>
      <c r="AF168" s="121"/>
      <c r="AG168" s="121"/>
      <c r="AH168" s="121"/>
      <c r="AI168" s="121"/>
      <c r="AJ168" s="121"/>
      <c r="AK168" s="121"/>
      <c r="AL168" s="121"/>
      <c r="AM168" s="121"/>
      <c r="AN168" s="121"/>
      <c r="AO168" s="121"/>
      <c r="AP168" s="121"/>
      <c r="AQ168" s="121"/>
      <c r="AR168" s="121"/>
      <c r="AS168" s="121"/>
      <c r="AT168" s="121"/>
      <c r="AU168" s="121"/>
      <c r="AV168" s="121"/>
      <c r="AW168" s="121"/>
      <c r="AX168" s="121"/>
    </row>
    <row r="169" spans="2:50" x14ac:dyDescent="0.2">
      <c r="B169" s="3"/>
      <c r="C169" s="3"/>
      <c r="D169" s="118" t="s">
        <v>165</v>
      </c>
      <c r="E169" s="118"/>
      <c r="F169" s="118" t="s">
        <v>417</v>
      </c>
      <c r="G169" s="118">
        <f t="shared" ref="G169:G232" si="21">LOOKUP(F169,$J$41:$J$121,$L$41:$L$121)</f>
        <v>1.05</v>
      </c>
      <c r="H169" s="15"/>
      <c r="I169" s="15"/>
      <c r="J169" s="123"/>
      <c r="K169" s="123"/>
      <c r="L169" s="123"/>
      <c r="M169" s="124"/>
      <c r="N169" s="121"/>
      <c r="O169" s="122"/>
      <c r="P169" s="122"/>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c r="AN169" s="121"/>
      <c r="AO169" s="121"/>
      <c r="AP169" s="121"/>
      <c r="AQ169" s="121"/>
      <c r="AR169" s="121"/>
      <c r="AS169" s="121"/>
      <c r="AT169" s="121"/>
      <c r="AU169" s="121"/>
      <c r="AV169" s="121"/>
      <c r="AW169" s="121"/>
      <c r="AX169" s="121"/>
    </row>
    <row r="170" spans="2:50" x14ac:dyDescent="0.2">
      <c r="B170" s="3"/>
      <c r="C170" s="3"/>
      <c r="D170" s="118" t="s">
        <v>166</v>
      </c>
      <c r="E170" s="118"/>
      <c r="F170" s="118" t="s">
        <v>399</v>
      </c>
      <c r="G170" s="118">
        <f t="shared" si="21"/>
        <v>1.07</v>
      </c>
      <c r="H170" s="15"/>
      <c r="I170" s="15"/>
      <c r="J170" s="123"/>
      <c r="K170" s="123"/>
      <c r="L170" s="123"/>
      <c r="M170" s="124"/>
      <c r="N170" s="121"/>
      <c r="O170" s="122"/>
      <c r="P170" s="122"/>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row>
    <row r="171" spans="2:50" x14ac:dyDescent="0.2">
      <c r="B171" s="3"/>
      <c r="C171" s="3"/>
      <c r="D171" s="118" t="s">
        <v>167</v>
      </c>
      <c r="E171" s="118"/>
      <c r="F171" s="118" t="s">
        <v>399</v>
      </c>
      <c r="G171" s="118">
        <f t="shared" si="21"/>
        <v>1.07</v>
      </c>
      <c r="H171" s="15"/>
      <c r="I171" s="15"/>
      <c r="J171" s="123"/>
      <c r="K171" s="123"/>
      <c r="L171" s="123"/>
      <c r="M171" s="124"/>
      <c r="N171" s="121"/>
      <c r="O171" s="122"/>
      <c r="P171" s="122"/>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121"/>
      <c r="AM171" s="121"/>
      <c r="AN171" s="121"/>
      <c r="AO171" s="121"/>
      <c r="AP171" s="121"/>
      <c r="AQ171" s="121"/>
      <c r="AR171" s="121"/>
      <c r="AS171" s="121"/>
      <c r="AT171" s="121"/>
      <c r="AU171" s="121"/>
      <c r="AV171" s="121"/>
      <c r="AW171" s="121"/>
      <c r="AX171" s="121"/>
    </row>
    <row r="172" spans="2:50" x14ac:dyDescent="0.2">
      <c r="B172" s="3"/>
      <c r="C172" s="3"/>
      <c r="D172" s="118" t="s">
        <v>168</v>
      </c>
      <c r="E172" s="118"/>
      <c r="F172" s="118" t="s">
        <v>388</v>
      </c>
      <c r="G172" s="118">
        <f t="shared" si="21"/>
        <v>1.04</v>
      </c>
      <c r="H172" s="15"/>
      <c r="I172" s="15"/>
      <c r="J172" s="123"/>
      <c r="K172" s="123"/>
      <c r="L172" s="123"/>
      <c r="M172" s="124"/>
      <c r="N172" s="121"/>
      <c r="O172" s="122"/>
      <c r="P172" s="122"/>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121"/>
      <c r="AM172" s="121"/>
      <c r="AN172" s="121"/>
      <c r="AO172" s="121"/>
      <c r="AP172" s="121"/>
      <c r="AQ172" s="121"/>
      <c r="AR172" s="121"/>
      <c r="AS172" s="121"/>
      <c r="AT172" s="121"/>
      <c r="AU172" s="121"/>
      <c r="AV172" s="121"/>
      <c r="AW172" s="121"/>
      <c r="AX172" s="121"/>
    </row>
    <row r="173" spans="2:50" x14ac:dyDescent="0.2">
      <c r="B173" s="3"/>
      <c r="C173" s="3"/>
      <c r="D173" s="118" t="s">
        <v>169</v>
      </c>
      <c r="E173" s="118"/>
      <c r="F173" s="118" t="s">
        <v>418</v>
      </c>
      <c r="G173" s="118">
        <f t="shared" si="21"/>
        <v>1.1299999999999999</v>
      </c>
      <c r="H173" s="15"/>
      <c r="I173" s="15"/>
      <c r="J173" s="123"/>
      <c r="K173" s="123"/>
      <c r="L173" s="123"/>
      <c r="M173" s="124"/>
      <c r="N173" s="121"/>
      <c r="O173" s="122"/>
      <c r="P173" s="122"/>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row>
    <row r="174" spans="2:50" x14ac:dyDescent="0.2">
      <c r="B174" s="3"/>
      <c r="C174" s="3"/>
      <c r="D174" s="118" t="s">
        <v>170</v>
      </c>
      <c r="E174" s="118"/>
      <c r="F174" s="118" t="s">
        <v>434</v>
      </c>
      <c r="G174" s="118">
        <f t="shared" si="21"/>
        <v>1.03</v>
      </c>
      <c r="H174" s="15"/>
      <c r="I174" s="15"/>
      <c r="J174" s="123"/>
      <c r="K174" s="123"/>
      <c r="L174" s="123"/>
      <c r="M174" s="124"/>
      <c r="N174" s="121"/>
      <c r="O174" s="122"/>
      <c r="P174" s="122"/>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c r="AN174" s="121"/>
      <c r="AO174" s="121"/>
      <c r="AP174" s="121"/>
      <c r="AQ174" s="121"/>
      <c r="AR174" s="121"/>
      <c r="AS174" s="121"/>
      <c r="AT174" s="121"/>
      <c r="AU174" s="121"/>
      <c r="AV174" s="121"/>
      <c r="AW174" s="121"/>
      <c r="AX174" s="121"/>
    </row>
    <row r="175" spans="2:50" x14ac:dyDescent="0.2">
      <c r="B175" s="3"/>
      <c r="C175" s="3"/>
      <c r="D175" s="118" t="s">
        <v>171</v>
      </c>
      <c r="E175" s="118"/>
      <c r="F175" s="118" t="s">
        <v>454</v>
      </c>
      <c r="G175" s="118">
        <f t="shared" si="21"/>
        <v>1.1299999999999999</v>
      </c>
      <c r="H175" s="15"/>
      <c r="I175" s="15"/>
      <c r="J175" s="123"/>
      <c r="K175" s="123"/>
      <c r="L175" s="123"/>
      <c r="M175" s="124"/>
      <c r="N175" s="121"/>
      <c r="O175" s="122"/>
      <c r="P175" s="122"/>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121"/>
      <c r="AM175" s="121"/>
      <c r="AN175" s="121"/>
      <c r="AO175" s="121"/>
      <c r="AP175" s="121"/>
      <c r="AQ175" s="121"/>
      <c r="AR175" s="121"/>
      <c r="AS175" s="121"/>
      <c r="AT175" s="121"/>
      <c r="AU175" s="121"/>
      <c r="AV175" s="121"/>
      <c r="AW175" s="121"/>
      <c r="AX175" s="121"/>
    </row>
    <row r="176" spans="2:50" x14ac:dyDescent="0.2">
      <c r="B176" s="3"/>
      <c r="C176" s="3"/>
      <c r="D176" s="118" t="s">
        <v>172</v>
      </c>
      <c r="E176" s="118"/>
      <c r="F176" s="118" t="s">
        <v>419</v>
      </c>
      <c r="G176" s="118">
        <f t="shared" si="21"/>
        <v>1.1299999999999999</v>
      </c>
      <c r="H176" s="15"/>
      <c r="I176" s="15"/>
      <c r="J176" s="123"/>
      <c r="K176" s="123"/>
      <c r="L176" s="123"/>
      <c r="M176" s="124"/>
      <c r="N176" s="121"/>
      <c r="O176" s="122"/>
      <c r="P176" s="122"/>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121"/>
      <c r="AM176" s="121"/>
      <c r="AN176" s="121"/>
      <c r="AO176" s="121"/>
      <c r="AP176" s="121"/>
      <c r="AQ176" s="121"/>
      <c r="AR176" s="121"/>
      <c r="AS176" s="121"/>
      <c r="AT176" s="121"/>
      <c r="AU176" s="121"/>
      <c r="AV176" s="121"/>
      <c r="AW176" s="121"/>
      <c r="AX176" s="121"/>
    </row>
    <row r="177" spans="2:50" x14ac:dyDescent="0.2">
      <c r="B177" s="3"/>
      <c r="C177" s="3"/>
      <c r="D177" s="118" t="s">
        <v>173</v>
      </c>
      <c r="E177" s="118"/>
      <c r="F177" s="118" t="s">
        <v>400</v>
      </c>
      <c r="G177" s="118">
        <f t="shared" si="21"/>
        <v>0.89</v>
      </c>
      <c r="H177" s="15"/>
      <c r="I177" s="15"/>
      <c r="J177" s="123"/>
      <c r="K177" s="123"/>
      <c r="L177" s="123"/>
      <c r="M177" s="124"/>
      <c r="N177" s="121"/>
      <c r="O177" s="122"/>
      <c r="P177" s="122"/>
      <c r="Q177" s="121"/>
      <c r="R177" s="121"/>
      <c r="S177" s="121"/>
      <c r="T177" s="121"/>
      <c r="U177" s="121"/>
      <c r="V177" s="121"/>
      <c r="W177" s="121"/>
      <c r="X177" s="121"/>
      <c r="Y177" s="121"/>
      <c r="Z177" s="121"/>
      <c r="AA177" s="121"/>
      <c r="AB177" s="121"/>
      <c r="AC177" s="121"/>
      <c r="AD177" s="121"/>
      <c r="AE177" s="121"/>
      <c r="AF177" s="121"/>
      <c r="AG177" s="121"/>
      <c r="AH177" s="121"/>
      <c r="AI177" s="121"/>
      <c r="AJ177" s="121"/>
      <c r="AK177" s="121"/>
      <c r="AL177" s="121"/>
      <c r="AM177" s="121"/>
      <c r="AN177" s="121"/>
      <c r="AO177" s="121"/>
      <c r="AP177" s="121"/>
      <c r="AQ177" s="121"/>
      <c r="AR177" s="121"/>
      <c r="AS177" s="121"/>
      <c r="AT177" s="121"/>
      <c r="AU177" s="121"/>
      <c r="AV177" s="121"/>
      <c r="AW177" s="121"/>
      <c r="AX177" s="121"/>
    </row>
    <row r="178" spans="2:50" x14ac:dyDescent="0.2">
      <c r="B178" s="3"/>
      <c r="C178" s="3"/>
      <c r="D178" s="118" t="s">
        <v>174</v>
      </c>
      <c r="E178" s="118"/>
      <c r="F178" s="118" t="s">
        <v>384</v>
      </c>
      <c r="G178" s="118">
        <f t="shared" si="21"/>
        <v>1</v>
      </c>
      <c r="H178" s="15"/>
      <c r="I178" s="15"/>
      <c r="J178" s="123"/>
      <c r="K178" s="123"/>
      <c r="L178" s="123"/>
      <c r="M178" s="124"/>
      <c r="N178" s="121"/>
      <c r="O178" s="122"/>
      <c r="P178" s="122"/>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row>
    <row r="179" spans="2:50" x14ac:dyDescent="0.2">
      <c r="B179" s="3"/>
      <c r="C179" s="3"/>
      <c r="D179" s="118" t="s">
        <v>175</v>
      </c>
      <c r="E179" s="118"/>
      <c r="F179" s="118" t="s">
        <v>402</v>
      </c>
      <c r="G179" s="118">
        <f t="shared" si="21"/>
        <v>1.02</v>
      </c>
      <c r="H179" s="15"/>
      <c r="I179" s="15"/>
      <c r="J179" s="123"/>
      <c r="K179" s="123"/>
      <c r="L179" s="123"/>
      <c r="M179" s="124"/>
      <c r="N179" s="121"/>
      <c r="O179" s="122"/>
      <c r="P179" s="122"/>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row>
    <row r="180" spans="2:50" x14ac:dyDescent="0.2">
      <c r="B180" s="3"/>
      <c r="C180" s="3"/>
      <c r="D180" s="118" t="s">
        <v>176</v>
      </c>
      <c r="E180" s="118"/>
      <c r="F180" s="118" t="s">
        <v>448</v>
      </c>
      <c r="G180" s="118">
        <f t="shared" si="21"/>
        <v>0.98</v>
      </c>
      <c r="H180" s="15"/>
      <c r="I180" s="15"/>
      <c r="J180" s="123"/>
      <c r="K180" s="123"/>
      <c r="L180" s="123"/>
      <c r="M180" s="124"/>
      <c r="N180" s="121"/>
      <c r="O180" s="122"/>
      <c r="P180" s="122"/>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121"/>
      <c r="AM180" s="121"/>
      <c r="AN180" s="121"/>
      <c r="AO180" s="121"/>
      <c r="AP180" s="121"/>
      <c r="AQ180" s="121"/>
      <c r="AR180" s="121"/>
      <c r="AS180" s="121"/>
      <c r="AT180" s="121"/>
      <c r="AU180" s="121"/>
      <c r="AV180" s="121"/>
      <c r="AW180" s="121"/>
      <c r="AX180" s="121"/>
    </row>
    <row r="181" spans="2:50" x14ac:dyDescent="0.2">
      <c r="B181" s="3"/>
      <c r="C181" s="3"/>
      <c r="D181" s="118" t="s">
        <v>177</v>
      </c>
      <c r="E181" s="118"/>
      <c r="F181" s="118" t="s">
        <v>397</v>
      </c>
      <c r="G181" s="118">
        <f t="shared" si="21"/>
        <v>1.1000000000000001</v>
      </c>
      <c r="H181" s="15"/>
      <c r="I181" s="15"/>
      <c r="J181" s="123"/>
      <c r="K181" s="123"/>
      <c r="L181" s="123"/>
      <c r="M181" s="124"/>
      <c r="N181" s="121"/>
      <c r="O181" s="122"/>
      <c r="P181" s="122"/>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c r="AN181" s="121"/>
      <c r="AO181" s="121"/>
      <c r="AP181" s="121"/>
      <c r="AQ181" s="121"/>
      <c r="AR181" s="121"/>
      <c r="AS181" s="121"/>
      <c r="AT181" s="121"/>
      <c r="AU181" s="121"/>
      <c r="AV181" s="121"/>
      <c r="AW181" s="121"/>
      <c r="AX181" s="121"/>
    </row>
    <row r="182" spans="2:50" x14ac:dyDescent="0.2">
      <c r="B182" s="3"/>
      <c r="C182" s="3"/>
      <c r="D182" s="118" t="s">
        <v>178</v>
      </c>
      <c r="E182" s="118"/>
      <c r="F182" s="118" t="s">
        <v>102</v>
      </c>
      <c r="G182" s="118">
        <f t="shared" si="21"/>
        <v>1</v>
      </c>
      <c r="H182" s="15"/>
      <c r="I182" s="15"/>
      <c r="J182" s="123"/>
      <c r="K182" s="123"/>
      <c r="L182" s="123"/>
      <c r="M182" s="124"/>
      <c r="N182" s="121"/>
      <c r="O182" s="122"/>
      <c r="P182" s="122"/>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c r="AN182" s="121"/>
      <c r="AO182" s="121"/>
      <c r="AP182" s="121"/>
      <c r="AQ182" s="121"/>
      <c r="AR182" s="121"/>
      <c r="AS182" s="121"/>
      <c r="AT182" s="121"/>
      <c r="AU182" s="121"/>
      <c r="AV182" s="121"/>
      <c r="AW182" s="121"/>
      <c r="AX182" s="121"/>
    </row>
    <row r="183" spans="2:50" x14ac:dyDescent="0.2">
      <c r="B183" s="3"/>
      <c r="C183" s="3"/>
      <c r="D183" s="118" t="s">
        <v>179</v>
      </c>
      <c r="E183" s="118"/>
      <c r="F183" s="118" t="s">
        <v>420</v>
      </c>
      <c r="G183" s="118">
        <f t="shared" si="21"/>
        <v>1.25</v>
      </c>
      <c r="H183" s="15"/>
      <c r="I183" s="15"/>
      <c r="J183" s="123"/>
      <c r="K183" s="123"/>
      <c r="L183" s="123"/>
      <c r="M183" s="124"/>
      <c r="N183" s="121"/>
      <c r="O183" s="122"/>
      <c r="P183" s="122"/>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row>
    <row r="184" spans="2:50" x14ac:dyDescent="0.2">
      <c r="B184" s="3"/>
      <c r="C184" s="3"/>
      <c r="D184" s="118" t="s">
        <v>180</v>
      </c>
      <c r="E184" s="118"/>
      <c r="F184" s="118" t="s">
        <v>421</v>
      </c>
      <c r="G184" s="118">
        <f t="shared" si="21"/>
        <v>1.32</v>
      </c>
      <c r="H184" s="15"/>
      <c r="I184" s="15"/>
      <c r="J184" s="123"/>
      <c r="K184" s="123"/>
      <c r="L184" s="123"/>
      <c r="M184" s="124"/>
      <c r="N184" s="121"/>
      <c r="O184" s="122"/>
      <c r="P184" s="122"/>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row>
    <row r="185" spans="2:50" x14ac:dyDescent="0.2">
      <c r="B185" s="3"/>
      <c r="C185" s="3"/>
      <c r="D185" s="118" t="s">
        <v>181</v>
      </c>
      <c r="E185" s="118"/>
      <c r="F185" s="118" t="s">
        <v>440</v>
      </c>
      <c r="G185" s="118">
        <f t="shared" si="21"/>
        <v>1.08</v>
      </c>
      <c r="H185" s="15"/>
      <c r="I185" s="15"/>
      <c r="J185" s="123"/>
      <c r="K185" s="123"/>
      <c r="L185" s="123"/>
      <c r="M185" s="124"/>
      <c r="N185" s="121"/>
      <c r="O185" s="122"/>
      <c r="P185" s="122"/>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c r="AN185" s="121"/>
      <c r="AO185" s="121"/>
      <c r="AP185" s="121"/>
      <c r="AQ185" s="121"/>
      <c r="AR185" s="121"/>
      <c r="AS185" s="121"/>
      <c r="AT185" s="121"/>
      <c r="AU185" s="121"/>
      <c r="AV185" s="121"/>
      <c r="AW185" s="121"/>
      <c r="AX185" s="121"/>
    </row>
    <row r="186" spans="2:50" x14ac:dyDescent="0.2">
      <c r="B186" s="3"/>
      <c r="C186" s="3"/>
      <c r="D186" s="118" t="s">
        <v>182</v>
      </c>
      <c r="E186" s="118"/>
      <c r="F186" s="118" t="s">
        <v>438</v>
      </c>
      <c r="G186" s="118">
        <f t="shared" si="21"/>
        <v>0.96</v>
      </c>
      <c r="H186" s="15"/>
      <c r="I186" s="15"/>
      <c r="J186" s="123"/>
      <c r="K186" s="123"/>
      <c r="L186" s="123"/>
      <c r="M186" s="124"/>
      <c r="N186" s="121"/>
      <c r="O186" s="122"/>
      <c r="P186" s="122"/>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c r="AP186" s="121"/>
      <c r="AQ186" s="121"/>
      <c r="AR186" s="121"/>
      <c r="AS186" s="121"/>
      <c r="AT186" s="121"/>
      <c r="AU186" s="121"/>
      <c r="AV186" s="121"/>
      <c r="AW186" s="121"/>
      <c r="AX186" s="121"/>
    </row>
    <row r="187" spans="2:50" x14ac:dyDescent="0.2">
      <c r="B187" s="3"/>
      <c r="C187" s="3"/>
      <c r="D187" s="118" t="s">
        <v>183</v>
      </c>
      <c r="E187" s="118"/>
      <c r="F187" s="118" t="s">
        <v>422</v>
      </c>
      <c r="G187" s="118">
        <f t="shared" si="21"/>
        <v>1.22</v>
      </c>
      <c r="H187" s="15"/>
      <c r="I187" s="15"/>
      <c r="J187" s="123"/>
      <c r="K187" s="123"/>
      <c r="L187" s="123"/>
      <c r="M187" s="124"/>
      <c r="N187" s="121"/>
      <c r="O187" s="122"/>
      <c r="P187" s="122"/>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c r="AP187" s="121"/>
      <c r="AQ187" s="121"/>
      <c r="AR187" s="121"/>
      <c r="AS187" s="121"/>
      <c r="AT187" s="121"/>
      <c r="AU187" s="121"/>
      <c r="AV187" s="121"/>
      <c r="AW187" s="121"/>
      <c r="AX187" s="121"/>
    </row>
    <row r="188" spans="2:50" x14ac:dyDescent="0.2">
      <c r="B188" s="3"/>
      <c r="C188" s="3"/>
      <c r="D188" s="118" t="s">
        <v>184</v>
      </c>
      <c r="E188" s="118"/>
      <c r="F188" s="118" t="s">
        <v>455</v>
      </c>
      <c r="G188" s="118">
        <f t="shared" si="21"/>
        <v>0.88</v>
      </c>
      <c r="H188" s="15"/>
      <c r="I188" s="15"/>
      <c r="J188" s="123"/>
      <c r="K188" s="123"/>
      <c r="L188" s="123"/>
      <c r="M188" s="124"/>
      <c r="N188" s="121"/>
      <c r="O188" s="122"/>
      <c r="P188" s="122"/>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c r="AS188" s="121"/>
      <c r="AT188" s="121"/>
      <c r="AU188" s="121"/>
      <c r="AV188" s="121"/>
      <c r="AW188" s="121"/>
      <c r="AX188" s="121"/>
    </row>
    <row r="189" spans="2:50" x14ac:dyDescent="0.2">
      <c r="B189" s="3"/>
      <c r="C189" s="3"/>
      <c r="D189" s="118" t="s">
        <v>185</v>
      </c>
      <c r="E189" s="118"/>
      <c r="F189" s="118" t="s">
        <v>436</v>
      </c>
      <c r="G189" s="118">
        <f t="shared" si="21"/>
        <v>1.02</v>
      </c>
      <c r="H189" s="15"/>
      <c r="I189" s="15"/>
      <c r="J189" s="123"/>
      <c r="K189" s="123"/>
      <c r="L189" s="123"/>
      <c r="M189" s="124"/>
      <c r="N189" s="121"/>
      <c r="O189" s="122"/>
      <c r="P189" s="122"/>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row>
    <row r="190" spans="2:50" x14ac:dyDescent="0.2">
      <c r="B190" s="3"/>
      <c r="C190" s="3"/>
      <c r="D190" s="118" t="s">
        <v>186</v>
      </c>
      <c r="E190" s="118"/>
      <c r="F190" s="118" t="s">
        <v>387</v>
      </c>
      <c r="G190" s="118">
        <f t="shared" si="21"/>
        <v>1.04</v>
      </c>
      <c r="H190" s="15"/>
      <c r="I190" s="15"/>
      <c r="J190" s="123"/>
      <c r="K190" s="123"/>
      <c r="L190" s="123"/>
      <c r="M190" s="124"/>
      <c r="N190" s="121"/>
      <c r="O190" s="122"/>
      <c r="P190" s="122"/>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row>
    <row r="191" spans="2:50" x14ac:dyDescent="0.2">
      <c r="B191" s="3"/>
      <c r="C191" s="3"/>
      <c r="D191" s="118" t="s">
        <v>187</v>
      </c>
      <c r="E191" s="118"/>
      <c r="F191" s="118" t="s">
        <v>423</v>
      </c>
      <c r="G191" s="118">
        <f t="shared" si="21"/>
        <v>1.25</v>
      </c>
      <c r="H191" s="15"/>
      <c r="I191" s="15"/>
      <c r="J191" s="123"/>
      <c r="K191" s="123"/>
      <c r="L191" s="123"/>
      <c r="M191" s="124"/>
      <c r="N191" s="121"/>
      <c r="O191" s="122"/>
      <c r="P191" s="122"/>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row>
    <row r="192" spans="2:50" x14ac:dyDescent="0.2">
      <c r="B192" s="3"/>
      <c r="C192" s="3"/>
      <c r="D192" s="118" t="s">
        <v>188</v>
      </c>
      <c r="E192" s="118"/>
      <c r="F192" s="118" t="s">
        <v>402</v>
      </c>
      <c r="G192" s="118">
        <f t="shared" si="21"/>
        <v>1.02</v>
      </c>
      <c r="H192" s="15"/>
      <c r="I192" s="15"/>
      <c r="J192" s="123"/>
      <c r="K192" s="123"/>
      <c r="L192" s="123"/>
      <c r="M192" s="124"/>
      <c r="N192" s="121"/>
      <c r="O192" s="122"/>
      <c r="P192" s="122"/>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c r="AN192" s="121"/>
      <c r="AO192" s="121"/>
      <c r="AP192" s="121"/>
      <c r="AQ192" s="121"/>
      <c r="AR192" s="121"/>
      <c r="AS192" s="121"/>
      <c r="AT192" s="121"/>
      <c r="AU192" s="121"/>
      <c r="AV192" s="121"/>
      <c r="AW192" s="121"/>
      <c r="AX192" s="121"/>
    </row>
    <row r="193" spans="2:50" x14ac:dyDescent="0.2">
      <c r="B193" s="3"/>
      <c r="C193" s="3"/>
      <c r="D193" s="118" t="s">
        <v>189</v>
      </c>
      <c r="E193" s="118"/>
      <c r="F193" s="118" t="s">
        <v>455</v>
      </c>
      <c r="G193" s="118">
        <f t="shared" si="21"/>
        <v>0.88</v>
      </c>
      <c r="H193" s="15"/>
      <c r="I193" s="15"/>
      <c r="J193" s="123"/>
      <c r="K193" s="123"/>
      <c r="L193" s="123"/>
      <c r="M193" s="124"/>
      <c r="N193" s="121"/>
      <c r="O193" s="122"/>
      <c r="P193" s="122"/>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c r="AP193" s="121"/>
      <c r="AQ193" s="121"/>
      <c r="AR193" s="121"/>
      <c r="AS193" s="121"/>
      <c r="AT193" s="121"/>
      <c r="AU193" s="121"/>
      <c r="AV193" s="121"/>
      <c r="AW193" s="121"/>
      <c r="AX193" s="121"/>
    </row>
    <row r="194" spans="2:50" x14ac:dyDescent="0.2">
      <c r="B194" s="3"/>
      <c r="C194" s="3"/>
      <c r="D194" s="118" t="s">
        <v>190</v>
      </c>
      <c r="E194" s="118"/>
      <c r="F194" s="118" t="s">
        <v>434</v>
      </c>
      <c r="G194" s="118">
        <f t="shared" si="21"/>
        <v>1.03</v>
      </c>
      <c r="H194" s="15"/>
      <c r="I194" s="15"/>
      <c r="J194" s="123"/>
      <c r="K194" s="123"/>
      <c r="L194" s="123"/>
      <c r="M194" s="124"/>
      <c r="N194" s="121"/>
      <c r="O194" s="122"/>
      <c r="P194" s="122"/>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c r="AP194" s="121"/>
      <c r="AQ194" s="121"/>
      <c r="AR194" s="121"/>
      <c r="AS194" s="121"/>
      <c r="AT194" s="121"/>
      <c r="AU194" s="121"/>
      <c r="AV194" s="121"/>
      <c r="AW194" s="121"/>
      <c r="AX194" s="121"/>
    </row>
    <row r="195" spans="2:50" x14ac:dyDescent="0.2">
      <c r="B195" s="3"/>
      <c r="C195" s="3"/>
      <c r="D195" s="118" t="s">
        <v>191</v>
      </c>
      <c r="E195" s="118"/>
      <c r="F195" s="118" t="s">
        <v>392</v>
      </c>
      <c r="G195" s="118">
        <f t="shared" si="21"/>
        <v>1.1399999999999999</v>
      </c>
      <c r="H195" s="15"/>
      <c r="I195" s="15"/>
      <c r="J195" s="123"/>
      <c r="K195" s="123"/>
      <c r="L195" s="123"/>
      <c r="M195" s="124"/>
      <c r="N195" s="121"/>
      <c r="O195" s="122"/>
      <c r="P195" s="122"/>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c r="AN195" s="121"/>
      <c r="AO195" s="121"/>
      <c r="AP195" s="121"/>
      <c r="AQ195" s="121"/>
      <c r="AR195" s="121"/>
      <c r="AS195" s="121"/>
      <c r="AT195" s="121"/>
      <c r="AU195" s="121"/>
      <c r="AV195" s="121"/>
      <c r="AW195" s="121"/>
      <c r="AX195" s="121"/>
    </row>
    <row r="196" spans="2:50" x14ac:dyDescent="0.2">
      <c r="B196" s="3"/>
      <c r="C196" s="3"/>
      <c r="D196" s="118" t="s">
        <v>192</v>
      </c>
      <c r="E196" s="118"/>
      <c r="F196" s="118" t="s">
        <v>424</v>
      </c>
      <c r="G196" s="118">
        <f t="shared" si="21"/>
        <v>1.17</v>
      </c>
      <c r="H196" s="15"/>
      <c r="I196" s="15"/>
      <c r="J196" s="123"/>
      <c r="K196" s="123"/>
      <c r="L196" s="123"/>
      <c r="M196" s="124"/>
      <c r="N196" s="121"/>
      <c r="O196" s="122"/>
      <c r="P196" s="122"/>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c r="AN196" s="121"/>
      <c r="AO196" s="121"/>
      <c r="AP196" s="121"/>
      <c r="AQ196" s="121"/>
      <c r="AR196" s="121"/>
      <c r="AS196" s="121"/>
      <c r="AT196" s="121"/>
      <c r="AU196" s="121"/>
      <c r="AV196" s="121"/>
      <c r="AW196" s="121"/>
      <c r="AX196" s="121"/>
    </row>
    <row r="197" spans="2:50" x14ac:dyDescent="0.2">
      <c r="B197" s="3"/>
      <c r="C197" s="3"/>
      <c r="D197" s="118" t="s">
        <v>193</v>
      </c>
      <c r="E197" s="118"/>
      <c r="F197" s="118" t="s">
        <v>447</v>
      </c>
      <c r="G197" s="118">
        <f t="shared" si="21"/>
        <v>0.97</v>
      </c>
      <c r="H197" s="15"/>
      <c r="I197" s="15"/>
      <c r="J197" s="123"/>
      <c r="K197" s="123"/>
      <c r="L197" s="123"/>
      <c r="M197" s="124"/>
      <c r="N197" s="121"/>
      <c r="O197" s="122"/>
      <c r="P197" s="122"/>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c r="AN197" s="121"/>
      <c r="AO197" s="121"/>
      <c r="AP197" s="121"/>
      <c r="AQ197" s="121"/>
      <c r="AR197" s="121"/>
      <c r="AS197" s="121"/>
      <c r="AT197" s="121"/>
      <c r="AU197" s="121"/>
      <c r="AV197" s="121"/>
      <c r="AW197" s="121"/>
      <c r="AX197" s="121"/>
    </row>
    <row r="198" spans="2:50" x14ac:dyDescent="0.2">
      <c r="B198" s="3"/>
      <c r="C198" s="3"/>
      <c r="D198" s="118" t="s">
        <v>194</v>
      </c>
      <c r="E198" s="118"/>
      <c r="F198" s="118" t="s">
        <v>435</v>
      </c>
      <c r="G198" s="118">
        <f t="shared" si="21"/>
        <v>1.03</v>
      </c>
      <c r="H198" s="15"/>
      <c r="I198" s="15"/>
      <c r="J198" s="123"/>
      <c r="K198" s="123"/>
      <c r="L198" s="123"/>
      <c r="M198" s="124"/>
      <c r="N198" s="121"/>
      <c r="O198" s="122"/>
      <c r="P198" s="122"/>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1"/>
      <c r="AR198" s="121"/>
      <c r="AS198" s="121"/>
      <c r="AT198" s="121"/>
      <c r="AU198" s="121"/>
      <c r="AV198" s="121"/>
      <c r="AW198" s="121"/>
      <c r="AX198" s="121"/>
    </row>
    <row r="199" spans="2:50" x14ac:dyDescent="0.2">
      <c r="B199" s="3"/>
      <c r="C199" s="3"/>
      <c r="D199" s="118" t="s">
        <v>195</v>
      </c>
      <c r="E199" s="118"/>
      <c r="F199" s="118" t="s">
        <v>436</v>
      </c>
      <c r="G199" s="118">
        <f t="shared" si="21"/>
        <v>1.02</v>
      </c>
      <c r="H199" s="15"/>
      <c r="I199" s="15"/>
      <c r="J199" s="123"/>
      <c r="K199" s="123"/>
      <c r="L199" s="123"/>
      <c r="M199" s="124"/>
      <c r="N199" s="121"/>
      <c r="O199" s="122"/>
      <c r="P199" s="122"/>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c r="AP199" s="121"/>
      <c r="AQ199" s="121"/>
      <c r="AR199" s="121"/>
      <c r="AS199" s="121"/>
      <c r="AT199" s="121"/>
      <c r="AU199" s="121"/>
      <c r="AV199" s="121"/>
      <c r="AW199" s="121"/>
      <c r="AX199" s="121"/>
    </row>
    <row r="200" spans="2:50" x14ac:dyDescent="0.2">
      <c r="B200" s="3"/>
      <c r="C200" s="3"/>
      <c r="D200" s="118" t="s">
        <v>196</v>
      </c>
      <c r="E200" s="118"/>
      <c r="F200" s="118" t="s">
        <v>381</v>
      </c>
      <c r="G200" s="118">
        <f t="shared" si="21"/>
        <v>1.04</v>
      </c>
      <c r="H200" s="15"/>
      <c r="I200" s="15"/>
      <c r="J200" s="123"/>
      <c r="K200" s="123"/>
      <c r="L200" s="123"/>
      <c r="M200" s="124"/>
      <c r="N200" s="121"/>
      <c r="O200" s="122"/>
      <c r="P200" s="122"/>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121"/>
      <c r="AM200" s="121"/>
      <c r="AN200" s="121"/>
      <c r="AO200" s="121"/>
      <c r="AP200" s="121"/>
      <c r="AQ200" s="121"/>
      <c r="AR200" s="121"/>
      <c r="AS200" s="121"/>
      <c r="AT200" s="121"/>
      <c r="AU200" s="121"/>
      <c r="AV200" s="121"/>
      <c r="AW200" s="121"/>
      <c r="AX200" s="121"/>
    </row>
    <row r="201" spans="2:50" x14ac:dyDescent="0.2">
      <c r="B201" s="3"/>
      <c r="C201" s="3"/>
      <c r="D201" s="118" t="s">
        <v>197</v>
      </c>
      <c r="E201" s="118"/>
      <c r="F201" s="118" t="s">
        <v>401</v>
      </c>
      <c r="G201" s="118">
        <f t="shared" si="21"/>
        <v>1.1399999999999999</v>
      </c>
      <c r="H201" s="15"/>
      <c r="I201" s="15"/>
      <c r="J201" s="123"/>
      <c r="K201" s="123"/>
      <c r="L201" s="123"/>
      <c r="M201" s="124"/>
      <c r="N201" s="121"/>
      <c r="O201" s="122"/>
      <c r="P201" s="122"/>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c r="AP201" s="121"/>
      <c r="AQ201" s="121"/>
      <c r="AR201" s="121"/>
      <c r="AS201" s="121"/>
      <c r="AT201" s="121"/>
      <c r="AU201" s="121"/>
      <c r="AV201" s="121"/>
      <c r="AW201" s="121"/>
      <c r="AX201" s="121"/>
    </row>
    <row r="202" spans="2:50" x14ac:dyDescent="0.2">
      <c r="B202" s="3"/>
      <c r="C202" s="3"/>
      <c r="D202" s="118" t="s">
        <v>198</v>
      </c>
      <c r="E202" s="118"/>
      <c r="F202" s="118" t="s">
        <v>394</v>
      </c>
      <c r="G202" s="118">
        <f t="shared" si="21"/>
        <v>1.04</v>
      </c>
      <c r="H202" s="15"/>
      <c r="I202" s="15"/>
      <c r="J202" s="123"/>
      <c r="K202" s="123"/>
      <c r="L202" s="123"/>
      <c r="M202" s="124"/>
      <c r="N202" s="121"/>
      <c r="O202" s="122"/>
      <c r="P202" s="122"/>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121"/>
      <c r="AM202" s="121"/>
      <c r="AN202" s="121"/>
      <c r="AO202" s="121"/>
      <c r="AP202" s="121"/>
      <c r="AQ202" s="121"/>
      <c r="AR202" s="121"/>
      <c r="AS202" s="121"/>
      <c r="AT202" s="121"/>
      <c r="AU202" s="121"/>
      <c r="AV202" s="121"/>
      <c r="AW202" s="121"/>
      <c r="AX202" s="121"/>
    </row>
    <row r="203" spans="2:50" x14ac:dyDescent="0.2">
      <c r="B203" s="3"/>
      <c r="C203" s="3"/>
      <c r="D203" s="118" t="s">
        <v>199</v>
      </c>
      <c r="E203" s="118"/>
      <c r="F203" s="120" t="s">
        <v>398</v>
      </c>
      <c r="G203" s="118">
        <f t="shared" si="21"/>
        <v>1</v>
      </c>
      <c r="H203" s="15"/>
      <c r="I203" s="15"/>
      <c r="J203" s="123"/>
      <c r="K203" s="123"/>
      <c r="L203" s="123"/>
      <c r="M203" s="124"/>
      <c r="N203" s="121"/>
      <c r="O203" s="122"/>
      <c r="P203" s="122"/>
      <c r="Q203" s="121"/>
      <c r="R203" s="121"/>
      <c r="S203" s="121"/>
      <c r="T203" s="121"/>
      <c r="U203" s="121"/>
      <c r="V203" s="121"/>
      <c r="W203" s="121"/>
      <c r="X203" s="121"/>
      <c r="Y203" s="121"/>
      <c r="Z203" s="121"/>
      <c r="AA203" s="121"/>
      <c r="AB203" s="121"/>
      <c r="AC203" s="121"/>
      <c r="AD203" s="121"/>
      <c r="AE203" s="121"/>
      <c r="AF203" s="121"/>
      <c r="AG203" s="121"/>
      <c r="AH203" s="121"/>
      <c r="AI203" s="121"/>
      <c r="AJ203" s="121"/>
      <c r="AK203" s="121"/>
      <c r="AL203" s="121"/>
      <c r="AM203" s="121"/>
      <c r="AN203" s="121"/>
      <c r="AO203" s="121"/>
      <c r="AP203" s="121"/>
      <c r="AQ203" s="121"/>
      <c r="AR203" s="121"/>
      <c r="AS203" s="121"/>
      <c r="AT203" s="121"/>
      <c r="AU203" s="121"/>
      <c r="AV203" s="121"/>
      <c r="AW203" s="121"/>
      <c r="AX203" s="121"/>
    </row>
    <row r="204" spans="2:50" x14ac:dyDescent="0.2">
      <c r="B204" s="3"/>
      <c r="C204" s="3"/>
      <c r="D204" s="118" t="s">
        <v>200</v>
      </c>
      <c r="E204" s="118"/>
      <c r="F204" s="118" t="s">
        <v>396</v>
      </c>
      <c r="G204" s="118">
        <f t="shared" si="21"/>
        <v>1.02</v>
      </c>
      <c r="H204" s="15"/>
      <c r="I204" s="15"/>
      <c r="J204" s="123"/>
      <c r="K204" s="123"/>
      <c r="L204" s="123"/>
      <c r="M204" s="124"/>
      <c r="N204" s="121"/>
      <c r="O204" s="122"/>
      <c r="P204" s="122"/>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row>
    <row r="205" spans="2:50" x14ac:dyDescent="0.2">
      <c r="B205" s="3"/>
      <c r="C205" s="3"/>
      <c r="D205" s="118" t="s">
        <v>201</v>
      </c>
      <c r="E205" s="118"/>
      <c r="F205" s="118" t="s">
        <v>442</v>
      </c>
      <c r="G205" s="118">
        <f t="shared" si="21"/>
        <v>1.02</v>
      </c>
      <c r="H205" s="15"/>
      <c r="I205" s="15"/>
      <c r="J205" s="123"/>
      <c r="K205" s="123"/>
      <c r="L205" s="123"/>
      <c r="M205" s="124"/>
      <c r="N205" s="121"/>
      <c r="O205" s="122"/>
      <c r="P205" s="122"/>
      <c r="Q205" s="121"/>
      <c r="R205" s="121"/>
      <c r="S205" s="121"/>
      <c r="T205" s="121"/>
      <c r="U205" s="121"/>
      <c r="V205" s="121"/>
      <c r="W205" s="121"/>
      <c r="X205" s="121"/>
      <c r="Y205" s="121"/>
      <c r="Z205" s="121"/>
      <c r="AA205" s="121"/>
      <c r="AB205" s="121"/>
      <c r="AC205" s="121"/>
      <c r="AD205" s="121"/>
      <c r="AE205" s="121"/>
      <c r="AF205" s="121"/>
      <c r="AG205" s="121"/>
      <c r="AH205" s="121"/>
      <c r="AI205" s="121"/>
      <c r="AJ205" s="121"/>
      <c r="AK205" s="121"/>
      <c r="AL205" s="121"/>
      <c r="AM205" s="121"/>
      <c r="AN205" s="121"/>
      <c r="AO205" s="121"/>
      <c r="AP205" s="121"/>
      <c r="AQ205" s="121"/>
      <c r="AR205" s="121"/>
      <c r="AS205" s="121"/>
      <c r="AT205" s="121"/>
      <c r="AU205" s="121"/>
      <c r="AV205" s="121"/>
      <c r="AW205" s="121"/>
      <c r="AX205" s="121"/>
    </row>
    <row r="206" spans="2:50" x14ac:dyDescent="0.2">
      <c r="B206" s="3"/>
      <c r="C206" s="3"/>
      <c r="D206" s="118" t="s">
        <v>202</v>
      </c>
      <c r="E206" s="118"/>
      <c r="F206" s="118" t="s">
        <v>401</v>
      </c>
      <c r="G206" s="118">
        <f t="shared" si="21"/>
        <v>1.1399999999999999</v>
      </c>
      <c r="H206" s="15"/>
      <c r="I206" s="15"/>
      <c r="J206" s="123"/>
      <c r="K206" s="123"/>
      <c r="L206" s="123"/>
      <c r="M206" s="124"/>
      <c r="N206" s="121"/>
      <c r="O206" s="122"/>
      <c r="P206" s="122"/>
      <c r="Q206" s="121"/>
      <c r="R206" s="121"/>
      <c r="S206" s="121"/>
      <c r="T206" s="121"/>
      <c r="U206" s="121"/>
      <c r="V206" s="121"/>
      <c r="W206" s="121"/>
      <c r="X206" s="121"/>
      <c r="Y206" s="121"/>
      <c r="Z206" s="121"/>
      <c r="AA206" s="121"/>
      <c r="AB206" s="121"/>
      <c r="AC206" s="121"/>
      <c r="AD206" s="121"/>
      <c r="AE206" s="121"/>
      <c r="AF206" s="121"/>
      <c r="AG206" s="121"/>
      <c r="AH206" s="121"/>
      <c r="AI206" s="121"/>
      <c r="AJ206" s="121"/>
      <c r="AK206" s="121"/>
      <c r="AL206" s="121"/>
      <c r="AM206" s="121"/>
      <c r="AN206" s="121"/>
      <c r="AO206" s="121"/>
      <c r="AP206" s="121"/>
      <c r="AQ206" s="121"/>
      <c r="AR206" s="121"/>
      <c r="AS206" s="121"/>
      <c r="AT206" s="121"/>
      <c r="AU206" s="121"/>
      <c r="AV206" s="121"/>
      <c r="AW206" s="121"/>
      <c r="AX206" s="121"/>
    </row>
    <row r="207" spans="2:50" x14ac:dyDescent="0.2">
      <c r="B207" s="3"/>
      <c r="C207" s="3"/>
      <c r="D207" s="118" t="s">
        <v>203</v>
      </c>
      <c r="E207" s="118"/>
      <c r="F207" s="118" t="s">
        <v>434</v>
      </c>
      <c r="G207" s="118">
        <f t="shared" si="21"/>
        <v>1.03</v>
      </c>
      <c r="H207" s="15"/>
      <c r="I207" s="15"/>
      <c r="J207" s="123"/>
      <c r="K207" s="123"/>
      <c r="L207" s="123"/>
      <c r="M207" s="124"/>
      <c r="N207" s="121"/>
      <c r="O207" s="122"/>
      <c r="P207" s="122"/>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c r="AN207" s="121"/>
      <c r="AO207" s="121"/>
      <c r="AP207" s="121"/>
      <c r="AQ207" s="121"/>
      <c r="AR207" s="121"/>
      <c r="AS207" s="121"/>
      <c r="AT207" s="121"/>
      <c r="AU207" s="121"/>
      <c r="AV207" s="121"/>
      <c r="AW207" s="121"/>
      <c r="AX207" s="121"/>
    </row>
    <row r="208" spans="2:50" x14ac:dyDescent="0.2">
      <c r="B208" s="3"/>
      <c r="C208" s="3"/>
      <c r="D208" s="118" t="s">
        <v>204</v>
      </c>
      <c r="E208" s="118"/>
      <c r="F208" s="118" t="s">
        <v>445</v>
      </c>
      <c r="G208" s="118">
        <f t="shared" si="21"/>
        <v>0.96</v>
      </c>
      <c r="H208" s="15"/>
      <c r="I208" s="15"/>
      <c r="J208" s="123"/>
      <c r="K208" s="123"/>
      <c r="L208" s="123"/>
      <c r="M208" s="124"/>
      <c r="N208" s="121"/>
      <c r="O208" s="122"/>
      <c r="P208" s="122"/>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121"/>
      <c r="AM208" s="121"/>
      <c r="AN208" s="121"/>
      <c r="AO208" s="121"/>
      <c r="AP208" s="121"/>
      <c r="AQ208" s="121"/>
      <c r="AR208" s="121"/>
      <c r="AS208" s="121"/>
      <c r="AT208" s="121"/>
      <c r="AU208" s="121"/>
      <c r="AV208" s="121"/>
      <c r="AW208" s="121"/>
      <c r="AX208" s="121"/>
    </row>
    <row r="209" spans="2:50" x14ac:dyDescent="0.2">
      <c r="B209" s="3"/>
      <c r="C209" s="3"/>
      <c r="D209" s="118" t="s">
        <v>205</v>
      </c>
      <c r="E209" s="118"/>
      <c r="F209" s="118" t="s">
        <v>425</v>
      </c>
      <c r="G209" s="118">
        <f t="shared" si="21"/>
        <v>1.21</v>
      </c>
      <c r="H209" s="15"/>
      <c r="I209" s="15"/>
      <c r="J209" s="123"/>
      <c r="K209" s="123"/>
      <c r="L209" s="123"/>
      <c r="M209" s="124"/>
      <c r="N209" s="121"/>
      <c r="O209" s="122"/>
      <c r="P209" s="122"/>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c r="AN209" s="121"/>
      <c r="AO209" s="121"/>
      <c r="AP209" s="121"/>
      <c r="AQ209" s="121"/>
      <c r="AR209" s="121"/>
      <c r="AS209" s="121"/>
      <c r="AT209" s="121"/>
      <c r="AU209" s="121"/>
      <c r="AV209" s="121"/>
      <c r="AW209" s="121"/>
      <c r="AX209" s="121"/>
    </row>
    <row r="210" spans="2:50" x14ac:dyDescent="0.2">
      <c r="B210" s="3"/>
      <c r="C210" s="3"/>
      <c r="D210" s="118" t="s">
        <v>206</v>
      </c>
      <c r="E210" s="118"/>
      <c r="F210" s="118" t="s">
        <v>389</v>
      </c>
      <c r="G210" s="118">
        <f t="shared" si="21"/>
        <v>0.97</v>
      </c>
      <c r="H210" s="15"/>
      <c r="I210" s="15"/>
      <c r="J210" s="123"/>
      <c r="K210" s="123"/>
      <c r="L210" s="123"/>
      <c r="M210" s="124"/>
      <c r="N210" s="121"/>
      <c r="O210" s="122"/>
      <c r="P210" s="122"/>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121"/>
      <c r="AM210" s="121"/>
      <c r="AN210" s="121"/>
      <c r="AO210" s="121"/>
      <c r="AP210" s="121"/>
      <c r="AQ210" s="121"/>
      <c r="AR210" s="121"/>
      <c r="AS210" s="121"/>
      <c r="AT210" s="121"/>
      <c r="AU210" s="121"/>
      <c r="AV210" s="121"/>
      <c r="AW210" s="121"/>
      <c r="AX210" s="121"/>
    </row>
    <row r="211" spans="2:50" x14ac:dyDescent="0.2">
      <c r="B211" s="3"/>
      <c r="C211" s="3"/>
      <c r="D211" s="118" t="s">
        <v>207</v>
      </c>
      <c r="E211" s="118"/>
      <c r="F211" s="118" t="s">
        <v>448</v>
      </c>
      <c r="G211" s="118">
        <f t="shared" si="21"/>
        <v>0.98</v>
      </c>
      <c r="H211" s="15"/>
      <c r="I211" s="15"/>
      <c r="J211" s="123"/>
      <c r="K211" s="123"/>
      <c r="L211" s="123"/>
      <c r="M211" s="124"/>
      <c r="N211" s="121"/>
      <c r="O211" s="122"/>
      <c r="P211" s="122"/>
      <c r="Q211" s="121"/>
      <c r="R211" s="121"/>
      <c r="S211" s="121"/>
      <c r="T211" s="121"/>
      <c r="U211" s="121"/>
      <c r="V211" s="121"/>
      <c r="W211" s="121"/>
      <c r="X211" s="121"/>
      <c r="Y211" s="121"/>
      <c r="Z211" s="121"/>
      <c r="AA211" s="121"/>
      <c r="AB211" s="121"/>
      <c r="AC211" s="121"/>
      <c r="AD211" s="121"/>
      <c r="AE211" s="121"/>
      <c r="AF211" s="121"/>
      <c r="AG211" s="121"/>
      <c r="AH211" s="121"/>
      <c r="AI211" s="121"/>
      <c r="AJ211" s="121"/>
      <c r="AK211" s="121"/>
      <c r="AL211" s="121"/>
      <c r="AM211" s="121"/>
      <c r="AN211" s="121"/>
      <c r="AO211" s="121"/>
      <c r="AP211" s="121"/>
      <c r="AQ211" s="121"/>
      <c r="AR211" s="121"/>
      <c r="AS211" s="121"/>
      <c r="AT211" s="121"/>
      <c r="AU211" s="121"/>
      <c r="AV211" s="121"/>
      <c r="AW211" s="121"/>
      <c r="AX211" s="121"/>
    </row>
    <row r="212" spans="2:50" x14ac:dyDescent="0.2">
      <c r="B212" s="3"/>
      <c r="C212" s="3"/>
      <c r="D212" s="118" t="s">
        <v>208</v>
      </c>
      <c r="E212" s="118"/>
      <c r="F212" s="118" t="s">
        <v>454</v>
      </c>
      <c r="G212" s="118">
        <f t="shared" si="21"/>
        <v>1.1299999999999999</v>
      </c>
      <c r="H212" s="15"/>
      <c r="I212" s="15"/>
      <c r="J212" s="123"/>
      <c r="K212" s="123"/>
      <c r="L212" s="123"/>
      <c r="M212" s="124"/>
      <c r="N212" s="121"/>
      <c r="O212" s="122"/>
      <c r="P212" s="122"/>
      <c r="Q212" s="121"/>
      <c r="R212" s="121"/>
      <c r="S212" s="121"/>
      <c r="T212" s="121"/>
      <c r="U212" s="121"/>
      <c r="V212" s="121"/>
      <c r="W212" s="121"/>
      <c r="X212" s="121"/>
      <c r="Y212" s="121"/>
      <c r="Z212" s="121"/>
      <c r="AA212" s="121"/>
      <c r="AB212" s="121"/>
      <c r="AC212" s="121"/>
      <c r="AD212" s="121"/>
      <c r="AE212" s="121"/>
      <c r="AF212" s="121"/>
      <c r="AG212" s="121"/>
      <c r="AH212" s="121"/>
      <c r="AI212" s="121"/>
      <c r="AJ212" s="121"/>
      <c r="AK212" s="121"/>
      <c r="AL212" s="121"/>
      <c r="AM212" s="121"/>
      <c r="AN212" s="121"/>
      <c r="AO212" s="121"/>
      <c r="AP212" s="121"/>
      <c r="AQ212" s="121"/>
      <c r="AR212" s="121"/>
      <c r="AS212" s="121"/>
      <c r="AT212" s="121"/>
      <c r="AU212" s="121"/>
      <c r="AV212" s="121"/>
      <c r="AW212" s="121"/>
      <c r="AX212" s="121"/>
    </row>
    <row r="213" spans="2:50" x14ac:dyDescent="0.2">
      <c r="B213" s="3"/>
      <c r="C213" s="3"/>
      <c r="D213" s="118" t="s">
        <v>209</v>
      </c>
      <c r="E213" s="118"/>
      <c r="F213" s="118" t="s">
        <v>439</v>
      </c>
      <c r="G213" s="118">
        <f>LOOKUP(F213,$J$41:$J$121,$L$41:$L$121)</f>
        <v>0.94</v>
      </c>
      <c r="H213" s="15"/>
      <c r="I213" s="15"/>
      <c r="J213" s="123"/>
      <c r="K213" s="123"/>
      <c r="L213" s="123"/>
      <c r="M213" s="124"/>
      <c r="N213" s="121"/>
      <c r="O213" s="122"/>
      <c r="P213" s="122"/>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121"/>
      <c r="AM213" s="121"/>
      <c r="AN213" s="121"/>
      <c r="AO213" s="121"/>
      <c r="AP213" s="121"/>
      <c r="AQ213" s="121"/>
      <c r="AR213" s="121"/>
      <c r="AS213" s="121"/>
      <c r="AT213" s="121"/>
      <c r="AU213" s="121"/>
      <c r="AV213" s="121"/>
      <c r="AW213" s="121"/>
      <c r="AX213" s="121"/>
    </row>
    <row r="214" spans="2:50" x14ac:dyDescent="0.2">
      <c r="B214" s="3"/>
      <c r="C214" s="3"/>
      <c r="D214" s="118" t="s">
        <v>210</v>
      </c>
      <c r="E214" s="118"/>
      <c r="F214" s="118" t="s">
        <v>383</v>
      </c>
      <c r="G214" s="118">
        <f t="shared" si="21"/>
        <v>1.1100000000000001</v>
      </c>
      <c r="H214" s="15"/>
      <c r="I214" s="15"/>
      <c r="J214" s="123"/>
      <c r="K214" s="123"/>
      <c r="L214" s="123"/>
      <c r="M214" s="124"/>
      <c r="N214" s="121"/>
      <c r="O214" s="122"/>
      <c r="P214" s="122"/>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row>
    <row r="215" spans="2:50" x14ac:dyDescent="0.2">
      <c r="B215" s="3"/>
      <c r="C215" s="3"/>
      <c r="D215" s="118" t="s">
        <v>211</v>
      </c>
      <c r="E215" s="118"/>
      <c r="F215" s="118" t="s">
        <v>449</v>
      </c>
      <c r="G215" s="118">
        <f t="shared" si="21"/>
        <v>1.19</v>
      </c>
      <c r="H215" s="15"/>
      <c r="I215" s="15"/>
      <c r="J215" s="123"/>
      <c r="K215" s="123"/>
      <c r="L215" s="123"/>
      <c r="M215" s="124"/>
      <c r="N215" s="121"/>
      <c r="O215" s="122"/>
      <c r="P215" s="122"/>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row>
    <row r="216" spans="2:50" x14ac:dyDescent="0.2">
      <c r="B216" s="3"/>
      <c r="C216" s="3"/>
      <c r="D216" s="118" t="s">
        <v>212</v>
      </c>
      <c r="E216" s="118"/>
      <c r="F216" s="118" t="s">
        <v>397</v>
      </c>
      <c r="G216" s="118">
        <f t="shared" si="21"/>
        <v>1.1000000000000001</v>
      </c>
      <c r="H216" s="15"/>
      <c r="I216" s="15"/>
      <c r="J216" s="123"/>
      <c r="K216" s="123"/>
      <c r="L216" s="123"/>
      <c r="M216" s="124"/>
      <c r="N216" s="121"/>
      <c r="O216" s="122"/>
      <c r="P216" s="122"/>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row>
    <row r="217" spans="2:50" x14ac:dyDescent="0.2">
      <c r="B217" s="3"/>
      <c r="C217" s="3"/>
      <c r="D217" s="118" t="s">
        <v>213</v>
      </c>
      <c r="E217" s="118"/>
      <c r="F217" s="118" t="s">
        <v>397</v>
      </c>
      <c r="G217" s="118">
        <f t="shared" si="21"/>
        <v>1.1000000000000001</v>
      </c>
      <c r="H217" s="15"/>
      <c r="I217" s="15"/>
      <c r="J217" s="123"/>
      <c r="K217" s="123"/>
      <c r="L217" s="123"/>
      <c r="M217" s="124"/>
      <c r="N217" s="121"/>
      <c r="O217" s="122"/>
      <c r="P217" s="122"/>
      <c r="Q217" s="121"/>
      <c r="R217" s="121"/>
      <c r="S217" s="121"/>
      <c r="T217" s="121"/>
      <c r="U217" s="121"/>
      <c r="V217" s="121"/>
      <c r="W217" s="121"/>
      <c r="X217" s="121"/>
      <c r="Y217" s="121"/>
      <c r="Z217" s="121"/>
      <c r="AA217" s="121"/>
      <c r="AB217" s="121"/>
      <c r="AC217" s="121"/>
      <c r="AD217" s="121"/>
      <c r="AE217" s="121"/>
      <c r="AF217" s="121"/>
      <c r="AG217" s="121"/>
      <c r="AH217" s="121"/>
      <c r="AI217" s="121"/>
      <c r="AJ217" s="121"/>
      <c r="AK217" s="121"/>
      <c r="AL217" s="121"/>
      <c r="AM217" s="121"/>
      <c r="AN217" s="121"/>
      <c r="AO217" s="121"/>
      <c r="AP217" s="121"/>
      <c r="AQ217" s="121"/>
      <c r="AR217" s="121"/>
      <c r="AS217" s="121"/>
      <c r="AT217" s="121"/>
      <c r="AU217" s="121"/>
      <c r="AV217" s="121"/>
      <c r="AW217" s="121"/>
      <c r="AX217" s="121"/>
    </row>
    <row r="218" spans="2:50" x14ac:dyDescent="0.2">
      <c r="B218" s="3"/>
      <c r="C218" s="3"/>
      <c r="D218" s="118" t="s">
        <v>214</v>
      </c>
      <c r="E218" s="118"/>
      <c r="F218" s="118" t="s">
        <v>442</v>
      </c>
      <c r="G218" s="118">
        <f t="shared" si="21"/>
        <v>1.02</v>
      </c>
      <c r="H218" s="15"/>
      <c r="I218" s="15"/>
      <c r="J218" s="123"/>
      <c r="K218" s="123"/>
      <c r="L218" s="123"/>
      <c r="M218" s="124"/>
      <c r="N218" s="121"/>
      <c r="O218" s="122"/>
      <c r="P218" s="122"/>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row>
    <row r="219" spans="2:50" x14ac:dyDescent="0.2">
      <c r="B219" s="3"/>
      <c r="C219" s="3"/>
      <c r="D219" s="118" t="s">
        <v>215</v>
      </c>
      <c r="E219" s="118"/>
      <c r="F219" s="118" t="s">
        <v>450</v>
      </c>
      <c r="G219" s="118">
        <f t="shared" si="21"/>
        <v>0.96</v>
      </c>
      <c r="H219" s="15"/>
      <c r="I219" s="15"/>
      <c r="J219" s="123"/>
      <c r="K219" s="123"/>
      <c r="L219" s="123"/>
      <c r="M219" s="124"/>
      <c r="N219" s="121"/>
      <c r="O219" s="122"/>
      <c r="P219" s="122"/>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row>
    <row r="220" spans="2:50" x14ac:dyDescent="0.2">
      <c r="B220" s="3"/>
      <c r="C220" s="3"/>
      <c r="D220" s="118" t="s">
        <v>216</v>
      </c>
      <c r="E220" s="118"/>
      <c r="F220" s="118" t="s">
        <v>447</v>
      </c>
      <c r="G220" s="118">
        <f t="shared" si="21"/>
        <v>0.97</v>
      </c>
      <c r="H220" s="15"/>
      <c r="I220" s="15"/>
      <c r="J220" s="123"/>
      <c r="K220" s="123"/>
      <c r="L220" s="123"/>
      <c r="M220" s="124"/>
      <c r="N220" s="121"/>
      <c r="O220" s="122"/>
      <c r="P220" s="122"/>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row>
    <row r="221" spans="2:50" x14ac:dyDescent="0.2">
      <c r="B221" s="3"/>
      <c r="C221" s="3"/>
      <c r="D221" s="118" t="s">
        <v>217</v>
      </c>
      <c r="E221" s="118"/>
      <c r="F221" s="118" t="s">
        <v>426</v>
      </c>
      <c r="G221" s="118">
        <f t="shared" si="21"/>
        <v>1.1499999999999999</v>
      </c>
      <c r="H221" s="15"/>
      <c r="I221" s="15"/>
      <c r="J221" s="123"/>
      <c r="K221" s="123"/>
      <c r="L221" s="123"/>
      <c r="M221" s="124"/>
      <c r="N221" s="121"/>
      <c r="O221" s="122"/>
      <c r="P221" s="122"/>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121"/>
      <c r="AM221" s="121"/>
      <c r="AN221" s="121"/>
      <c r="AO221" s="121"/>
      <c r="AP221" s="121"/>
      <c r="AQ221" s="121"/>
      <c r="AR221" s="121"/>
      <c r="AS221" s="121"/>
      <c r="AT221" s="121"/>
      <c r="AU221" s="121"/>
      <c r="AV221" s="121"/>
      <c r="AW221" s="121"/>
      <c r="AX221" s="121"/>
    </row>
    <row r="222" spans="2:50" x14ac:dyDescent="0.2">
      <c r="B222" s="3"/>
      <c r="C222" s="3"/>
      <c r="D222" s="118" t="s">
        <v>218</v>
      </c>
      <c r="E222" s="118"/>
      <c r="F222" s="118" t="s">
        <v>389</v>
      </c>
      <c r="G222" s="118">
        <f t="shared" si="21"/>
        <v>0.97</v>
      </c>
      <c r="H222" s="15"/>
      <c r="I222" s="15"/>
      <c r="J222" s="123"/>
      <c r="K222" s="123"/>
      <c r="L222" s="123"/>
      <c r="M222" s="124"/>
      <c r="N222" s="121"/>
      <c r="O222" s="122"/>
      <c r="P222" s="122"/>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row>
    <row r="223" spans="2:50" x14ac:dyDescent="0.2">
      <c r="B223" s="3"/>
      <c r="C223" s="3"/>
      <c r="D223" s="118" t="s">
        <v>219</v>
      </c>
      <c r="E223" s="118"/>
      <c r="F223" s="118" t="s">
        <v>390</v>
      </c>
      <c r="G223" s="118">
        <f>LOOKUP(F223,$J$41:$J$121,$L$41:$L$121)</f>
        <v>1</v>
      </c>
      <c r="H223" s="15"/>
      <c r="I223" s="15"/>
      <c r="J223" s="123"/>
      <c r="K223" s="123"/>
      <c r="L223" s="123"/>
      <c r="M223" s="124"/>
      <c r="N223" s="121"/>
      <c r="O223" s="122"/>
      <c r="P223" s="122"/>
      <c r="Q223" s="121"/>
      <c r="R223" s="121"/>
      <c r="S223" s="121"/>
      <c r="T223" s="121"/>
      <c r="U223" s="121"/>
      <c r="V223" s="121"/>
      <c r="W223" s="121"/>
      <c r="X223" s="121"/>
      <c r="Y223" s="121"/>
      <c r="Z223" s="121"/>
      <c r="AA223" s="121"/>
      <c r="AB223" s="121"/>
      <c r="AC223" s="121"/>
      <c r="AD223" s="121"/>
      <c r="AE223" s="121"/>
      <c r="AF223" s="121"/>
      <c r="AG223" s="121"/>
      <c r="AH223" s="121"/>
      <c r="AI223" s="121"/>
      <c r="AJ223" s="121"/>
      <c r="AK223" s="121"/>
      <c r="AL223" s="121"/>
      <c r="AM223" s="121"/>
      <c r="AN223" s="121"/>
      <c r="AO223" s="121"/>
      <c r="AP223" s="121"/>
      <c r="AQ223" s="121"/>
      <c r="AR223" s="121"/>
      <c r="AS223" s="121"/>
      <c r="AT223" s="121"/>
      <c r="AU223" s="121"/>
      <c r="AV223" s="121"/>
      <c r="AW223" s="121"/>
      <c r="AX223" s="121"/>
    </row>
    <row r="224" spans="2:50" x14ac:dyDescent="0.2">
      <c r="B224" s="3"/>
      <c r="C224" s="3"/>
      <c r="D224" s="118" t="s">
        <v>220</v>
      </c>
      <c r="E224" s="118"/>
      <c r="F224" s="118" t="s">
        <v>388</v>
      </c>
      <c r="G224" s="118">
        <f t="shared" si="21"/>
        <v>1.04</v>
      </c>
      <c r="H224" s="15"/>
      <c r="I224" s="15"/>
      <c r="J224" s="123"/>
      <c r="K224" s="123"/>
      <c r="L224" s="123"/>
      <c r="M224" s="124"/>
      <c r="N224" s="121"/>
      <c r="O224" s="122"/>
      <c r="P224" s="122"/>
      <c r="Q224" s="121"/>
      <c r="R224" s="121"/>
      <c r="S224" s="121"/>
      <c r="T224" s="121"/>
      <c r="U224" s="121"/>
      <c r="V224" s="121"/>
      <c r="W224" s="121"/>
      <c r="X224" s="121"/>
      <c r="Y224" s="121"/>
      <c r="Z224" s="121"/>
      <c r="AA224" s="121"/>
      <c r="AB224" s="121"/>
      <c r="AC224" s="121"/>
      <c r="AD224" s="121"/>
      <c r="AE224" s="121"/>
      <c r="AF224" s="121"/>
      <c r="AG224" s="121"/>
      <c r="AH224" s="121"/>
      <c r="AI224" s="121"/>
      <c r="AJ224" s="121"/>
      <c r="AK224" s="121"/>
      <c r="AL224" s="121"/>
      <c r="AM224" s="121"/>
      <c r="AN224" s="121"/>
      <c r="AO224" s="121"/>
      <c r="AP224" s="121"/>
      <c r="AQ224" s="121"/>
      <c r="AR224" s="121"/>
      <c r="AS224" s="121"/>
      <c r="AT224" s="121"/>
      <c r="AU224" s="121"/>
      <c r="AV224" s="121"/>
      <c r="AW224" s="121"/>
      <c r="AX224" s="121"/>
    </row>
    <row r="225" spans="2:50" x14ac:dyDescent="0.2">
      <c r="B225" s="3"/>
      <c r="C225" s="3"/>
      <c r="D225" s="118" t="s">
        <v>221</v>
      </c>
      <c r="E225" s="118"/>
      <c r="F225" s="118" t="s">
        <v>435</v>
      </c>
      <c r="G225" s="118">
        <f t="shared" si="21"/>
        <v>1.03</v>
      </c>
      <c r="H225" s="15"/>
      <c r="I225" s="15"/>
      <c r="J225" s="123"/>
      <c r="K225" s="123"/>
      <c r="L225" s="123"/>
      <c r="M225" s="124"/>
      <c r="N225" s="121"/>
      <c r="O225" s="122"/>
      <c r="P225" s="122"/>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121"/>
      <c r="AM225" s="121"/>
      <c r="AN225" s="121"/>
      <c r="AO225" s="121"/>
      <c r="AP225" s="121"/>
      <c r="AQ225" s="121"/>
      <c r="AR225" s="121"/>
      <c r="AS225" s="121"/>
      <c r="AT225" s="121"/>
      <c r="AU225" s="121"/>
      <c r="AV225" s="121"/>
      <c r="AW225" s="121"/>
      <c r="AX225" s="121"/>
    </row>
    <row r="226" spans="2:50" x14ac:dyDescent="0.2">
      <c r="B226" s="3"/>
      <c r="C226" s="3"/>
      <c r="D226" s="118" t="s">
        <v>222</v>
      </c>
      <c r="E226" s="118"/>
      <c r="F226" s="118" t="s">
        <v>399</v>
      </c>
      <c r="G226" s="118">
        <f t="shared" si="21"/>
        <v>1.07</v>
      </c>
      <c r="H226" s="15"/>
      <c r="I226" s="15"/>
      <c r="J226" s="123"/>
      <c r="K226" s="123"/>
      <c r="L226" s="123"/>
      <c r="M226" s="124"/>
      <c r="N226" s="121"/>
      <c r="O226" s="122"/>
      <c r="P226" s="122"/>
      <c r="Q226" s="121"/>
      <c r="R226" s="121"/>
      <c r="S226" s="121"/>
      <c r="T226" s="121"/>
      <c r="U226" s="121"/>
      <c r="V226" s="121"/>
      <c r="W226" s="121"/>
      <c r="X226" s="121"/>
      <c r="Y226" s="121"/>
      <c r="Z226" s="121"/>
      <c r="AA226" s="121"/>
      <c r="AB226" s="121"/>
      <c r="AC226" s="121"/>
      <c r="AD226" s="121"/>
      <c r="AE226" s="121"/>
      <c r="AF226" s="121"/>
      <c r="AG226" s="121"/>
      <c r="AH226" s="121"/>
      <c r="AI226" s="121"/>
      <c r="AJ226" s="121"/>
      <c r="AK226" s="121"/>
      <c r="AL226" s="121"/>
      <c r="AM226" s="121"/>
      <c r="AN226" s="121"/>
      <c r="AO226" s="121"/>
      <c r="AP226" s="121"/>
      <c r="AQ226" s="121"/>
      <c r="AR226" s="121"/>
      <c r="AS226" s="121"/>
      <c r="AT226" s="121"/>
      <c r="AU226" s="121"/>
      <c r="AV226" s="121"/>
      <c r="AW226" s="121"/>
      <c r="AX226" s="121"/>
    </row>
    <row r="227" spans="2:50" x14ac:dyDescent="0.2">
      <c r="B227" s="3"/>
      <c r="C227" s="3"/>
      <c r="D227" s="118" t="s">
        <v>223</v>
      </c>
      <c r="E227" s="118"/>
      <c r="F227" s="118" t="s">
        <v>435</v>
      </c>
      <c r="G227" s="118">
        <f t="shared" si="21"/>
        <v>1.03</v>
      </c>
      <c r="H227" s="15"/>
      <c r="I227" s="15"/>
      <c r="J227" s="123"/>
      <c r="K227" s="123"/>
      <c r="L227" s="123"/>
      <c r="M227" s="124"/>
      <c r="N227" s="121"/>
      <c r="O227" s="122"/>
      <c r="P227" s="122"/>
      <c r="Q227" s="121"/>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c r="AN227" s="121"/>
      <c r="AO227" s="121"/>
      <c r="AP227" s="121"/>
      <c r="AQ227" s="121"/>
      <c r="AR227" s="121"/>
      <c r="AS227" s="121"/>
      <c r="AT227" s="121"/>
      <c r="AU227" s="121"/>
      <c r="AV227" s="121"/>
      <c r="AW227" s="121"/>
      <c r="AX227" s="121"/>
    </row>
    <row r="228" spans="2:50" x14ac:dyDescent="0.2">
      <c r="B228" s="3"/>
      <c r="C228" s="3"/>
      <c r="D228" s="118" t="s">
        <v>224</v>
      </c>
      <c r="E228" s="118"/>
      <c r="F228" s="118" t="s">
        <v>435</v>
      </c>
      <c r="G228" s="118">
        <f t="shared" si="21"/>
        <v>1.03</v>
      </c>
      <c r="H228" s="15"/>
      <c r="I228" s="15"/>
      <c r="J228" s="123"/>
      <c r="K228" s="123"/>
      <c r="L228" s="123"/>
      <c r="M228" s="124"/>
      <c r="N228" s="121"/>
      <c r="O228" s="122"/>
      <c r="P228" s="122"/>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L228" s="121"/>
      <c r="AM228" s="121"/>
      <c r="AN228" s="121"/>
      <c r="AO228" s="121"/>
      <c r="AP228" s="121"/>
      <c r="AQ228" s="121"/>
      <c r="AR228" s="121"/>
      <c r="AS228" s="121"/>
      <c r="AT228" s="121"/>
      <c r="AU228" s="121"/>
      <c r="AV228" s="121"/>
      <c r="AW228" s="121"/>
      <c r="AX228" s="121"/>
    </row>
    <row r="229" spans="2:50" x14ac:dyDescent="0.2">
      <c r="B229" s="3"/>
      <c r="C229" s="3"/>
      <c r="D229" s="118" t="s">
        <v>225</v>
      </c>
      <c r="E229" s="118"/>
      <c r="F229" s="118" t="s">
        <v>438</v>
      </c>
      <c r="G229" s="118">
        <f t="shared" si="21"/>
        <v>0.96</v>
      </c>
      <c r="H229" s="15"/>
      <c r="I229" s="15"/>
      <c r="J229" s="123"/>
      <c r="K229" s="123"/>
      <c r="L229" s="123"/>
      <c r="M229" s="124"/>
      <c r="N229" s="121"/>
      <c r="O229" s="122"/>
      <c r="P229" s="122"/>
      <c r="Q229" s="121"/>
      <c r="R229" s="121"/>
      <c r="S229" s="121"/>
      <c r="T229" s="121"/>
      <c r="U229" s="121"/>
      <c r="V229" s="121"/>
      <c r="W229" s="121"/>
      <c r="X229" s="121"/>
      <c r="Y229" s="121"/>
      <c r="Z229" s="121"/>
      <c r="AA229" s="121"/>
      <c r="AB229" s="121"/>
      <c r="AC229" s="121"/>
      <c r="AD229" s="121"/>
      <c r="AE229" s="121"/>
      <c r="AF229" s="121"/>
      <c r="AG229" s="121"/>
      <c r="AH229" s="121"/>
      <c r="AI229" s="121"/>
      <c r="AJ229" s="121"/>
      <c r="AK229" s="121"/>
      <c r="AL229" s="121"/>
      <c r="AM229" s="121"/>
      <c r="AN229" s="121"/>
      <c r="AO229" s="121"/>
      <c r="AP229" s="121"/>
      <c r="AQ229" s="121"/>
      <c r="AR229" s="121"/>
      <c r="AS229" s="121"/>
      <c r="AT229" s="121"/>
      <c r="AU229" s="121"/>
      <c r="AV229" s="121"/>
      <c r="AW229" s="121"/>
      <c r="AX229" s="121"/>
    </row>
    <row r="230" spans="2:50" x14ac:dyDescent="0.2">
      <c r="B230" s="3"/>
      <c r="C230" s="3"/>
      <c r="D230" s="118" t="s">
        <v>226</v>
      </c>
      <c r="E230" s="118"/>
      <c r="F230" s="118" t="s">
        <v>445</v>
      </c>
      <c r="G230" s="118">
        <f t="shared" si="21"/>
        <v>0.96</v>
      </c>
      <c r="H230" s="15"/>
      <c r="I230" s="15"/>
      <c r="J230" s="123"/>
      <c r="K230" s="123"/>
      <c r="L230" s="123"/>
      <c r="M230" s="124"/>
      <c r="N230" s="121"/>
      <c r="O230" s="122"/>
      <c r="P230" s="122"/>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121"/>
      <c r="AM230" s="121"/>
      <c r="AN230" s="121"/>
      <c r="AO230" s="121"/>
      <c r="AP230" s="121"/>
      <c r="AQ230" s="121"/>
      <c r="AR230" s="121"/>
      <c r="AS230" s="121"/>
      <c r="AT230" s="121"/>
      <c r="AU230" s="121"/>
      <c r="AV230" s="121"/>
      <c r="AW230" s="121"/>
      <c r="AX230" s="121"/>
    </row>
    <row r="231" spans="2:50" x14ac:dyDescent="0.2">
      <c r="B231" s="3"/>
      <c r="C231" s="3"/>
      <c r="D231" s="118" t="s">
        <v>227</v>
      </c>
      <c r="E231" s="118"/>
      <c r="F231" s="118" t="s">
        <v>450</v>
      </c>
      <c r="G231" s="118">
        <f t="shared" si="21"/>
        <v>0.96</v>
      </c>
      <c r="H231" s="15"/>
      <c r="I231" s="15"/>
      <c r="J231" s="123"/>
      <c r="K231" s="123"/>
      <c r="L231" s="123"/>
      <c r="M231" s="124"/>
      <c r="N231" s="121"/>
      <c r="O231" s="122"/>
      <c r="P231" s="122"/>
      <c r="Q231" s="121"/>
      <c r="R231" s="121"/>
      <c r="S231" s="121"/>
      <c r="T231" s="121"/>
      <c r="U231" s="121"/>
      <c r="V231" s="121"/>
      <c r="W231" s="121"/>
      <c r="X231" s="121"/>
      <c r="Y231" s="121"/>
      <c r="Z231" s="121"/>
      <c r="AA231" s="121"/>
      <c r="AB231" s="121"/>
      <c r="AC231" s="121"/>
      <c r="AD231" s="121"/>
      <c r="AE231" s="121"/>
      <c r="AF231" s="121"/>
      <c r="AG231" s="121"/>
      <c r="AH231" s="121"/>
      <c r="AI231" s="121"/>
      <c r="AJ231" s="121"/>
      <c r="AK231" s="121"/>
      <c r="AL231" s="121"/>
      <c r="AM231" s="121"/>
      <c r="AN231" s="121"/>
      <c r="AO231" s="121"/>
      <c r="AP231" s="121"/>
      <c r="AQ231" s="121"/>
      <c r="AR231" s="121"/>
      <c r="AS231" s="121"/>
      <c r="AT231" s="121"/>
      <c r="AU231" s="121"/>
      <c r="AV231" s="121"/>
      <c r="AW231" s="121"/>
      <c r="AX231" s="121"/>
    </row>
    <row r="232" spans="2:50" x14ac:dyDescent="0.2">
      <c r="B232" s="3"/>
      <c r="C232" s="3"/>
      <c r="D232" s="118" t="s">
        <v>228</v>
      </c>
      <c r="E232" s="118"/>
      <c r="F232" s="118" t="s">
        <v>452</v>
      </c>
      <c r="G232" s="118">
        <f t="shared" si="21"/>
        <v>1.01</v>
      </c>
      <c r="H232" s="15"/>
      <c r="I232" s="15"/>
      <c r="J232" s="123"/>
      <c r="K232" s="123"/>
      <c r="L232" s="123"/>
      <c r="M232" s="124"/>
      <c r="N232" s="121"/>
      <c r="O232" s="122"/>
      <c r="P232" s="122"/>
      <c r="Q232" s="121"/>
      <c r="R232" s="121"/>
      <c r="S232" s="121"/>
      <c r="T232" s="121"/>
      <c r="U232" s="121"/>
      <c r="V232" s="121"/>
      <c r="W232" s="121"/>
      <c r="X232" s="121"/>
      <c r="Y232" s="121"/>
      <c r="Z232" s="121"/>
      <c r="AA232" s="121"/>
      <c r="AB232" s="121"/>
      <c r="AC232" s="121"/>
      <c r="AD232" s="121"/>
      <c r="AE232" s="121"/>
      <c r="AF232" s="121"/>
      <c r="AG232" s="121"/>
      <c r="AH232" s="121"/>
      <c r="AI232" s="121"/>
      <c r="AJ232" s="121"/>
      <c r="AK232" s="121"/>
      <c r="AL232" s="121"/>
      <c r="AM232" s="121"/>
      <c r="AN232" s="121"/>
      <c r="AO232" s="121"/>
      <c r="AP232" s="121"/>
      <c r="AQ232" s="121"/>
      <c r="AR232" s="121"/>
      <c r="AS232" s="121"/>
      <c r="AT232" s="121"/>
      <c r="AU232" s="121"/>
      <c r="AV232" s="121"/>
      <c r="AW232" s="121"/>
      <c r="AX232" s="121"/>
    </row>
    <row r="233" spans="2:50" x14ac:dyDescent="0.2">
      <c r="B233" s="3"/>
      <c r="C233" s="3"/>
      <c r="D233" s="118" t="s">
        <v>229</v>
      </c>
      <c r="E233" s="118"/>
      <c r="F233" s="118" t="s">
        <v>434</v>
      </c>
      <c r="G233" s="118">
        <f t="shared" ref="G233:G296" si="22">LOOKUP(F233,$J$41:$J$121,$L$41:$L$121)</f>
        <v>1.03</v>
      </c>
      <c r="H233" s="15"/>
      <c r="I233" s="15"/>
      <c r="J233" s="123"/>
      <c r="K233" s="123"/>
      <c r="L233" s="123"/>
      <c r="M233" s="124"/>
      <c r="N233" s="121"/>
      <c r="O233" s="122"/>
      <c r="P233" s="122"/>
      <c r="Q233" s="121"/>
      <c r="R233" s="121"/>
      <c r="S233" s="121"/>
      <c r="T233" s="121"/>
      <c r="U233" s="121"/>
      <c r="V233" s="121"/>
      <c r="W233" s="121"/>
      <c r="X233" s="121"/>
      <c r="Y233" s="121"/>
      <c r="Z233" s="121"/>
      <c r="AA233" s="121"/>
      <c r="AB233" s="121"/>
      <c r="AC233" s="121"/>
      <c r="AD233" s="121"/>
      <c r="AE233" s="121"/>
      <c r="AF233" s="121"/>
      <c r="AG233" s="121"/>
      <c r="AH233" s="121"/>
      <c r="AI233" s="121"/>
      <c r="AJ233" s="121"/>
      <c r="AK233" s="121"/>
      <c r="AL233" s="121"/>
      <c r="AM233" s="121"/>
      <c r="AN233" s="121"/>
      <c r="AO233" s="121"/>
      <c r="AP233" s="121"/>
      <c r="AQ233" s="121"/>
      <c r="AR233" s="121"/>
      <c r="AS233" s="121"/>
      <c r="AT233" s="121"/>
      <c r="AU233" s="121"/>
      <c r="AV233" s="121"/>
      <c r="AW233" s="121"/>
      <c r="AX233" s="121"/>
    </row>
    <row r="234" spans="2:50" x14ac:dyDescent="0.2">
      <c r="B234" s="3"/>
      <c r="C234" s="3"/>
      <c r="D234" s="118" t="s">
        <v>230</v>
      </c>
      <c r="E234" s="118"/>
      <c r="F234" s="118" t="s">
        <v>439</v>
      </c>
      <c r="G234" s="118">
        <f t="shared" si="22"/>
        <v>0.94</v>
      </c>
      <c r="H234" s="15"/>
      <c r="I234" s="15"/>
      <c r="J234" s="123"/>
      <c r="K234" s="123"/>
      <c r="L234" s="123"/>
      <c r="M234" s="124"/>
      <c r="N234" s="121"/>
      <c r="O234" s="122"/>
      <c r="P234" s="122"/>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121"/>
      <c r="AM234" s="121"/>
      <c r="AN234" s="121"/>
      <c r="AO234" s="121"/>
      <c r="AP234" s="121"/>
      <c r="AQ234" s="121"/>
      <c r="AR234" s="121"/>
      <c r="AS234" s="121"/>
      <c r="AT234" s="121"/>
      <c r="AU234" s="121"/>
      <c r="AV234" s="121"/>
      <c r="AW234" s="121"/>
      <c r="AX234" s="121"/>
    </row>
    <row r="235" spans="2:50" x14ac:dyDescent="0.2">
      <c r="B235" s="3"/>
      <c r="C235" s="3"/>
      <c r="D235" s="118" t="s">
        <v>231</v>
      </c>
      <c r="E235" s="118"/>
      <c r="F235" s="118" t="s">
        <v>440</v>
      </c>
      <c r="G235" s="118">
        <f t="shared" si="22"/>
        <v>1.08</v>
      </c>
      <c r="H235" s="15"/>
      <c r="I235" s="15"/>
      <c r="J235" s="123"/>
      <c r="K235" s="123"/>
      <c r="L235" s="123"/>
      <c r="M235" s="124"/>
      <c r="N235" s="121"/>
      <c r="O235" s="122"/>
      <c r="P235" s="122"/>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c r="AT235" s="121"/>
      <c r="AU235" s="121"/>
      <c r="AV235" s="121"/>
      <c r="AW235" s="121"/>
      <c r="AX235" s="121"/>
    </row>
    <row r="236" spans="2:50" x14ac:dyDescent="0.2">
      <c r="B236" s="3"/>
      <c r="C236" s="3"/>
      <c r="D236" s="118" t="s">
        <v>232</v>
      </c>
      <c r="E236" s="118"/>
      <c r="F236" s="118" t="s">
        <v>441</v>
      </c>
      <c r="G236" s="118">
        <f>LOOKUP(F236,$J$41:$J$121,$L$41:$L$121)</f>
        <v>1</v>
      </c>
      <c r="H236" s="15"/>
      <c r="I236" s="15"/>
      <c r="J236" s="123"/>
      <c r="K236" s="123"/>
      <c r="L236" s="123"/>
      <c r="M236" s="124"/>
      <c r="N236" s="121"/>
      <c r="O236" s="122"/>
      <c r="P236" s="122"/>
      <c r="Q236" s="121"/>
      <c r="R236" s="121"/>
      <c r="S236" s="121"/>
      <c r="T236" s="121"/>
      <c r="U236" s="121"/>
      <c r="V236" s="121"/>
      <c r="W236" s="121"/>
      <c r="X236" s="121"/>
      <c r="Y236" s="121"/>
      <c r="Z236" s="121"/>
      <c r="AA236" s="121"/>
      <c r="AB236" s="121"/>
      <c r="AC236" s="121"/>
      <c r="AD236" s="121"/>
      <c r="AE236" s="121"/>
      <c r="AF236" s="121"/>
      <c r="AG236" s="121"/>
      <c r="AH236" s="121"/>
      <c r="AI236" s="121"/>
      <c r="AJ236" s="121"/>
      <c r="AK236" s="121"/>
      <c r="AL236" s="121"/>
      <c r="AM236" s="121"/>
      <c r="AN236" s="121"/>
      <c r="AO236" s="121"/>
      <c r="AP236" s="121"/>
      <c r="AQ236" s="121"/>
      <c r="AR236" s="121"/>
      <c r="AS236" s="121"/>
      <c r="AT236" s="121"/>
      <c r="AU236" s="121"/>
      <c r="AV236" s="121"/>
      <c r="AW236" s="121"/>
      <c r="AX236" s="121"/>
    </row>
    <row r="237" spans="2:50" x14ac:dyDescent="0.2">
      <c r="B237" s="3"/>
      <c r="C237" s="3"/>
      <c r="D237" s="118" t="s">
        <v>233</v>
      </c>
      <c r="E237" s="118"/>
      <c r="F237" s="118" t="s">
        <v>441</v>
      </c>
      <c r="G237" s="118">
        <f t="shared" si="22"/>
        <v>1</v>
      </c>
      <c r="H237" s="15"/>
      <c r="I237" s="15"/>
      <c r="J237" s="123"/>
      <c r="K237" s="123"/>
      <c r="L237" s="123"/>
      <c r="M237" s="124"/>
      <c r="N237" s="121"/>
      <c r="O237" s="122"/>
      <c r="P237" s="122"/>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c r="AN237" s="121"/>
      <c r="AO237" s="121"/>
      <c r="AP237" s="121"/>
      <c r="AQ237" s="121"/>
      <c r="AR237" s="121"/>
      <c r="AS237" s="121"/>
      <c r="AT237" s="121"/>
      <c r="AU237" s="121"/>
      <c r="AV237" s="121"/>
      <c r="AW237" s="121"/>
      <c r="AX237" s="121"/>
    </row>
    <row r="238" spans="2:50" x14ac:dyDescent="0.2">
      <c r="B238" s="3"/>
      <c r="C238" s="3"/>
      <c r="D238" s="118" t="s">
        <v>234</v>
      </c>
      <c r="E238" s="118"/>
      <c r="F238" s="118" t="s">
        <v>438</v>
      </c>
      <c r="G238" s="118">
        <f t="shared" si="22"/>
        <v>0.96</v>
      </c>
      <c r="H238" s="15"/>
      <c r="I238" s="15"/>
      <c r="J238" s="123"/>
      <c r="K238" s="123"/>
      <c r="L238" s="123"/>
      <c r="M238" s="124"/>
      <c r="N238" s="121"/>
      <c r="O238" s="122"/>
      <c r="P238" s="122"/>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c r="AN238" s="121"/>
      <c r="AO238" s="121"/>
      <c r="AP238" s="121"/>
      <c r="AQ238" s="121"/>
      <c r="AR238" s="121"/>
      <c r="AS238" s="121"/>
      <c r="AT238" s="121"/>
      <c r="AU238" s="121"/>
      <c r="AV238" s="121"/>
      <c r="AW238" s="121"/>
      <c r="AX238" s="121"/>
    </row>
    <row r="239" spans="2:50" x14ac:dyDescent="0.2">
      <c r="B239" s="3"/>
      <c r="C239" s="3"/>
      <c r="D239" s="118" t="s">
        <v>235</v>
      </c>
      <c r="E239" s="118"/>
      <c r="F239" s="118" t="s">
        <v>442</v>
      </c>
      <c r="G239" s="118">
        <f t="shared" si="22"/>
        <v>1.02</v>
      </c>
      <c r="H239" s="15"/>
      <c r="I239" s="15"/>
      <c r="J239" s="123"/>
      <c r="K239" s="123"/>
      <c r="L239" s="123"/>
      <c r="M239" s="124"/>
      <c r="N239" s="121"/>
      <c r="O239" s="122"/>
      <c r="P239" s="122"/>
      <c r="Q239" s="121"/>
      <c r="R239" s="121"/>
      <c r="S239" s="121"/>
      <c r="T239" s="121"/>
      <c r="U239" s="121"/>
      <c r="V239" s="121"/>
      <c r="W239" s="121"/>
      <c r="X239" s="121"/>
      <c r="Y239" s="121"/>
      <c r="Z239" s="121"/>
      <c r="AA239" s="121"/>
      <c r="AB239" s="121"/>
      <c r="AC239" s="121"/>
      <c r="AD239" s="121"/>
      <c r="AE239" s="121"/>
      <c r="AF239" s="121"/>
      <c r="AG239" s="121"/>
      <c r="AH239" s="121"/>
      <c r="AI239" s="121"/>
      <c r="AJ239" s="121"/>
      <c r="AK239" s="121"/>
      <c r="AL239" s="121"/>
      <c r="AM239" s="121"/>
      <c r="AN239" s="121"/>
      <c r="AO239" s="121"/>
      <c r="AP239" s="121"/>
      <c r="AQ239" s="121"/>
      <c r="AR239" s="121"/>
      <c r="AS239" s="121"/>
      <c r="AT239" s="121"/>
      <c r="AU239" s="121"/>
      <c r="AV239" s="121"/>
      <c r="AW239" s="121"/>
      <c r="AX239" s="121"/>
    </row>
    <row r="240" spans="2:50" x14ac:dyDescent="0.2">
      <c r="B240" s="3"/>
      <c r="C240" s="3"/>
      <c r="D240" s="118" t="s">
        <v>236</v>
      </c>
      <c r="E240" s="118"/>
      <c r="F240" s="118" t="s">
        <v>452</v>
      </c>
      <c r="G240" s="118">
        <f t="shared" si="22"/>
        <v>1.01</v>
      </c>
      <c r="H240" s="15"/>
      <c r="I240" s="15"/>
      <c r="J240" s="123"/>
      <c r="K240" s="123"/>
      <c r="L240" s="123"/>
      <c r="M240" s="124"/>
      <c r="N240" s="121"/>
      <c r="O240" s="122"/>
      <c r="P240" s="122"/>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c r="AN240" s="121"/>
      <c r="AO240" s="121"/>
      <c r="AP240" s="121"/>
      <c r="AQ240" s="121"/>
      <c r="AR240" s="121"/>
      <c r="AS240" s="121"/>
      <c r="AT240" s="121"/>
      <c r="AU240" s="121"/>
      <c r="AV240" s="121"/>
      <c r="AW240" s="121"/>
      <c r="AX240" s="121"/>
    </row>
    <row r="241" spans="2:50" x14ac:dyDescent="0.2">
      <c r="B241" s="3"/>
      <c r="C241" s="3"/>
      <c r="D241" s="118" t="s">
        <v>237</v>
      </c>
      <c r="E241" s="118"/>
      <c r="F241" s="118" t="s">
        <v>434</v>
      </c>
      <c r="G241" s="118">
        <f t="shared" si="22"/>
        <v>1.03</v>
      </c>
      <c r="H241" s="15"/>
      <c r="I241" s="15"/>
      <c r="J241" s="123"/>
      <c r="K241" s="123"/>
      <c r="L241" s="123"/>
      <c r="M241" s="124"/>
      <c r="N241" s="121"/>
      <c r="O241" s="122"/>
      <c r="P241" s="122"/>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121"/>
      <c r="AM241" s="121"/>
      <c r="AN241" s="121"/>
      <c r="AO241" s="121"/>
      <c r="AP241" s="121"/>
      <c r="AQ241" s="121"/>
      <c r="AR241" s="121"/>
      <c r="AS241" s="121"/>
      <c r="AT241" s="121"/>
      <c r="AU241" s="121"/>
      <c r="AV241" s="121"/>
      <c r="AW241" s="121"/>
      <c r="AX241" s="121"/>
    </row>
    <row r="242" spans="2:50" x14ac:dyDescent="0.2">
      <c r="B242" s="3"/>
      <c r="C242" s="3"/>
      <c r="D242" s="118" t="s">
        <v>238</v>
      </c>
      <c r="E242" s="118"/>
      <c r="F242" s="118" t="s">
        <v>396</v>
      </c>
      <c r="G242" s="118">
        <f t="shared" si="22"/>
        <v>1.02</v>
      </c>
      <c r="H242" s="15"/>
      <c r="I242" s="15"/>
      <c r="J242" s="123"/>
      <c r="K242" s="123"/>
      <c r="L242" s="123"/>
      <c r="M242" s="124"/>
      <c r="N242" s="121"/>
      <c r="O242" s="122"/>
      <c r="P242" s="122"/>
      <c r="Q242" s="121"/>
      <c r="R242" s="121"/>
      <c r="S242" s="121"/>
      <c r="T242" s="121"/>
      <c r="U242" s="121"/>
      <c r="V242" s="121"/>
      <c r="W242" s="121"/>
      <c r="X242" s="121"/>
      <c r="Y242" s="121"/>
      <c r="Z242" s="121"/>
      <c r="AA242" s="121"/>
      <c r="AB242" s="121"/>
      <c r="AC242" s="121"/>
      <c r="AD242" s="121"/>
      <c r="AE242" s="121"/>
      <c r="AF242" s="121"/>
      <c r="AG242" s="121"/>
      <c r="AH242" s="121"/>
      <c r="AI242" s="121"/>
      <c r="AJ242" s="121"/>
      <c r="AK242" s="121"/>
      <c r="AL242" s="121"/>
      <c r="AM242" s="121"/>
      <c r="AN242" s="121"/>
      <c r="AO242" s="121"/>
      <c r="AP242" s="121"/>
      <c r="AQ242" s="121"/>
      <c r="AR242" s="121"/>
      <c r="AS242" s="121"/>
      <c r="AT242" s="121"/>
      <c r="AU242" s="121"/>
      <c r="AV242" s="121"/>
      <c r="AW242" s="121"/>
      <c r="AX242" s="121"/>
    </row>
    <row r="243" spans="2:50" x14ac:dyDescent="0.2">
      <c r="B243" s="3"/>
      <c r="C243" s="3"/>
      <c r="D243" s="118" t="s">
        <v>239</v>
      </c>
      <c r="E243" s="118"/>
      <c r="F243" s="118" t="s">
        <v>443</v>
      </c>
      <c r="G243" s="118">
        <f t="shared" si="22"/>
        <v>1.0900000000000001</v>
      </c>
      <c r="H243" s="15"/>
      <c r="I243" s="15"/>
      <c r="J243" s="123"/>
      <c r="K243" s="123"/>
      <c r="L243" s="123"/>
      <c r="M243" s="124"/>
      <c r="N243" s="121"/>
      <c r="O243" s="122"/>
      <c r="P243" s="122"/>
      <c r="Q243" s="121"/>
      <c r="R243" s="121"/>
      <c r="S243" s="121"/>
      <c r="T243" s="121"/>
      <c r="U243" s="121"/>
      <c r="V243" s="121"/>
      <c r="W243" s="121"/>
      <c r="X243" s="121"/>
      <c r="Y243" s="121"/>
      <c r="Z243" s="121"/>
      <c r="AA243" s="121"/>
      <c r="AB243" s="121"/>
      <c r="AC243" s="121"/>
      <c r="AD243" s="121"/>
      <c r="AE243" s="121"/>
      <c r="AF243" s="121"/>
      <c r="AG243" s="121"/>
      <c r="AH243" s="121"/>
      <c r="AI243" s="121"/>
      <c r="AJ243" s="121"/>
      <c r="AK243" s="121"/>
      <c r="AL243" s="121"/>
      <c r="AM243" s="121"/>
      <c r="AN243" s="121"/>
      <c r="AO243" s="121"/>
      <c r="AP243" s="121"/>
      <c r="AQ243" s="121"/>
      <c r="AR243" s="121"/>
      <c r="AS243" s="121"/>
      <c r="AT243" s="121"/>
      <c r="AU243" s="121"/>
      <c r="AV243" s="121"/>
      <c r="AW243" s="121"/>
      <c r="AX243" s="121"/>
    </row>
    <row r="244" spans="2:50" x14ac:dyDescent="0.2">
      <c r="B244" s="3"/>
      <c r="C244" s="3"/>
      <c r="D244" s="118" t="s">
        <v>240</v>
      </c>
      <c r="E244" s="118"/>
      <c r="F244" s="118" t="s">
        <v>388</v>
      </c>
      <c r="G244" s="118">
        <f t="shared" si="22"/>
        <v>1.04</v>
      </c>
      <c r="H244" s="15"/>
      <c r="I244" s="15"/>
      <c r="J244" s="123"/>
      <c r="K244" s="123"/>
      <c r="L244" s="123"/>
      <c r="M244" s="124"/>
      <c r="N244" s="121"/>
      <c r="O244" s="122"/>
      <c r="P244" s="122"/>
      <c r="Q244" s="121"/>
      <c r="R244" s="121"/>
      <c r="S244" s="121"/>
      <c r="T244" s="121"/>
      <c r="U244" s="121"/>
      <c r="V244" s="121"/>
      <c r="W244" s="121"/>
      <c r="X244" s="121"/>
      <c r="Y244" s="121"/>
      <c r="Z244" s="121"/>
      <c r="AA244" s="121"/>
      <c r="AB244" s="121"/>
      <c r="AC244" s="121"/>
      <c r="AD244" s="121"/>
      <c r="AE244" s="121"/>
      <c r="AF244" s="121"/>
      <c r="AG244" s="121"/>
      <c r="AH244" s="121"/>
      <c r="AI244" s="121"/>
      <c r="AJ244" s="121"/>
      <c r="AK244" s="121"/>
      <c r="AL244" s="121"/>
      <c r="AM244" s="121"/>
      <c r="AN244" s="121"/>
      <c r="AO244" s="121"/>
      <c r="AP244" s="121"/>
      <c r="AQ244" s="121"/>
      <c r="AR244" s="121"/>
      <c r="AS244" s="121"/>
      <c r="AT244" s="121"/>
      <c r="AU244" s="121"/>
      <c r="AV244" s="121"/>
      <c r="AW244" s="121"/>
      <c r="AX244" s="121"/>
    </row>
    <row r="245" spans="2:50" x14ac:dyDescent="0.2">
      <c r="B245" s="3"/>
      <c r="C245" s="3"/>
      <c r="D245" s="118" t="s">
        <v>241</v>
      </c>
      <c r="E245" s="118"/>
      <c r="F245" s="118" t="s">
        <v>402</v>
      </c>
      <c r="G245" s="118">
        <f t="shared" si="22"/>
        <v>1.02</v>
      </c>
      <c r="H245" s="15"/>
      <c r="I245" s="15"/>
      <c r="J245" s="123"/>
      <c r="K245" s="123"/>
      <c r="L245" s="123"/>
      <c r="M245" s="124"/>
      <c r="N245" s="121"/>
      <c r="O245" s="122"/>
      <c r="P245" s="122"/>
      <c r="Q245" s="121"/>
      <c r="R245" s="121"/>
      <c r="S245" s="121"/>
      <c r="T245" s="121"/>
      <c r="U245" s="121"/>
      <c r="V245" s="121"/>
      <c r="W245" s="121"/>
      <c r="X245" s="121"/>
      <c r="Y245" s="121"/>
      <c r="Z245" s="121"/>
      <c r="AA245" s="121"/>
      <c r="AB245" s="121"/>
      <c r="AC245" s="121"/>
      <c r="AD245" s="121"/>
      <c r="AE245" s="121"/>
      <c r="AF245" s="121"/>
      <c r="AG245" s="121"/>
      <c r="AH245" s="121"/>
      <c r="AI245" s="121"/>
      <c r="AJ245" s="121"/>
      <c r="AK245" s="121"/>
      <c r="AL245" s="121"/>
      <c r="AM245" s="121"/>
      <c r="AN245" s="121"/>
      <c r="AO245" s="121"/>
      <c r="AP245" s="121"/>
      <c r="AQ245" s="121"/>
      <c r="AR245" s="121"/>
      <c r="AS245" s="121"/>
      <c r="AT245" s="121"/>
      <c r="AU245" s="121"/>
      <c r="AV245" s="121"/>
      <c r="AW245" s="121"/>
      <c r="AX245" s="121"/>
    </row>
    <row r="246" spans="2:50" x14ac:dyDescent="0.2">
      <c r="B246" s="3"/>
      <c r="C246" s="3"/>
      <c r="D246" s="118" t="s">
        <v>242</v>
      </c>
      <c r="E246" s="118"/>
      <c r="F246" s="118" t="s">
        <v>384</v>
      </c>
      <c r="G246" s="118">
        <f t="shared" si="22"/>
        <v>1</v>
      </c>
      <c r="H246" s="15"/>
      <c r="I246" s="15"/>
      <c r="J246" s="123"/>
      <c r="K246" s="123"/>
      <c r="L246" s="123"/>
      <c r="M246" s="124"/>
      <c r="N246" s="121"/>
      <c r="O246" s="122"/>
      <c r="P246" s="122"/>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121"/>
      <c r="AM246" s="121"/>
      <c r="AN246" s="121"/>
      <c r="AO246" s="121"/>
      <c r="AP246" s="121"/>
      <c r="AQ246" s="121"/>
      <c r="AR246" s="121"/>
      <c r="AS246" s="121"/>
      <c r="AT246" s="121"/>
      <c r="AU246" s="121"/>
      <c r="AV246" s="121"/>
      <c r="AW246" s="121"/>
      <c r="AX246" s="121"/>
    </row>
    <row r="247" spans="2:50" x14ac:dyDescent="0.2">
      <c r="B247" s="3"/>
      <c r="C247" s="3"/>
      <c r="D247" s="118" t="s">
        <v>243</v>
      </c>
      <c r="E247" s="118"/>
      <c r="F247" s="118" t="s">
        <v>389</v>
      </c>
      <c r="G247" s="118">
        <f t="shared" si="22"/>
        <v>0.97</v>
      </c>
      <c r="H247" s="15"/>
      <c r="I247" s="15"/>
      <c r="J247" s="123"/>
      <c r="K247" s="123"/>
      <c r="L247" s="123"/>
      <c r="M247" s="124"/>
      <c r="N247" s="121"/>
      <c r="O247" s="122"/>
      <c r="P247" s="122"/>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row>
    <row r="248" spans="2:50" x14ac:dyDescent="0.2">
      <c r="B248" s="3"/>
      <c r="C248" s="3"/>
      <c r="D248" s="118" t="s">
        <v>244</v>
      </c>
      <c r="E248" s="118"/>
      <c r="F248" s="118" t="s">
        <v>390</v>
      </c>
      <c r="G248" s="118">
        <f t="shared" si="22"/>
        <v>1</v>
      </c>
      <c r="H248" s="15"/>
      <c r="I248" s="15"/>
      <c r="J248" s="123"/>
      <c r="K248" s="123"/>
      <c r="L248" s="123"/>
      <c r="M248" s="124"/>
      <c r="N248" s="121"/>
      <c r="O248" s="122"/>
      <c r="P248" s="122"/>
      <c r="Q248" s="121"/>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row>
    <row r="249" spans="2:50" x14ac:dyDescent="0.2">
      <c r="B249" s="3"/>
      <c r="C249" s="3"/>
      <c r="D249" s="118" t="s">
        <v>245</v>
      </c>
      <c r="E249" s="118"/>
      <c r="F249" s="118" t="s">
        <v>397</v>
      </c>
      <c r="G249" s="118">
        <f t="shared" si="22"/>
        <v>1.1000000000000001</v>
      </c>
      <c r="H249" s="15"/>
      <c r="I249" s="15"/>
      <c r="J249" s="123"/>
      <c r="K249" s="123"/>
      <c r="L249" s="123"/>
      <c r="M249" s="124"/>
      <c r="N249" s="121"/>
      <c r="O249" s="122"/>
      <c r="P249" s="122"/>
      <c r="Q249" s="121"/>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row>
    <row r="250" spans="2:50" x14ac:dyDescent="0.2">
      <c r="B250" s="3"/>
      <c r="C250" s="3"/>
      <c r="D250" s="118" t="s">
        <v>246</v>
      </c>
      <c r="E250" s="118"/>
      <c r="F250" s="118" t="s">
        <v>402</v>
      </c>
      <c r="G250" s="118">
        <f t="shared" si="22"/>
        <v>1.02</v>
      </c>
      <c r="H250" s="15"/>
      <c r="I250" s="15"/>
      <c r="J250" s="123"/>
      <c r="K250" s="123"/>
      <c r="L250" s="123"/>
      <c r="M250" s="124"/>
      <c r="N250" s="121"/>
      <c r="O250" s="122"/>
      <c r="P250" s="122"/>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121"/>
      <c r="AL250" s="121"/>
      <c r="AM250" s="121"/>
      <c r="AN250" s="121"/>
      <c r="AO250" s="121"/>
      <c r="AP250" s="121"/>
      <c r="AQ250" s="121"/>
      <c r="AR250" s="121"/>
      <c r="AS250" s="121"/>
      <c r="AT250" s="121"/>
      <c r="AU250" s="121"/>
      <c r="AV250" s="121"/>
      <c r="AW250" s="121"/>
      <c r="AX250" s="121"/>
    </row>
    <row r="251" spans="2:50" x14ac:dyDescent="0.2">
      <c r="B251" s="3"/>
      <c r="C251" s="3"/>
      <c r="D251" s="118" t="s">
        <v>247</v>
      </c>
      <c r="E251" s="118"/>
      <c r="F251" s="118" t="s">
        <v>390</v>
      </c>
      <c r="G251" s="118">
        <f>LOOKUP(F251,$J$41:$J$121,$L$41:$L$121)</f>
        <v>1</v>
      </c>
      <c r="H251" s="15"/>
      <c r="I251" s="15"/>
      <c r="J251" s="123"/>
      <c r="K251" s="123"/>
      <c r="L251" s="123"/>
      <c r="M251" s="124"/>
      <c r="N251" s="121"/>
      <c r="O251" s="122"/>
      <c r="P251" s="122"/>
      <c r="Q251" s="121"/>
      <c r="R251" s="121"/>
      <c r="S251" s="121"/>
      <c r="T251" s="121"/>
      <c r="U251" s="121"/>
      <c r="V251" s="121"/>
      <c r="W251" s="121"/>
      <c r="X251" s="121"/>
      <c r="Y251" s="121"/>
      <c r="Z251" s="121"/>
      <c r="AA251" s="121"/>
      <c r="AB251" s="121"/>
      <c r="AC251" s="121"/>
      <c r="AD251" s="121"/>
      <c r="AE251" s="121"/>
      <c r="AF251" s="121"/>
      <c r="AG251" s="121"/>
      <c r="AH251" s="121"/>
      <c r="AI251" s="121"/>
      <c r="AJ251" s="121"/>
      <c r="AK251" s="121"/>
      <c r="AL251" s="121"/>
      <c r="AM251" s="121"/>
      <c r="AN251" s="121"/>
      <c r="AO251" s="121"/>
      <c r="AP251" s="121"/>
      <c r="AQ251" s="121"/>
      <c r="AR251" s="121"/>
      <c r="AS251" s="121"/>
      <c r="AT251" s="121"/>
      <c r="AU251" s="121"/>
      <c r="AV251" s="121"/>
      <c r="AW251" s="121"/>
      <c r="AX251" s="121"/>
    </row>
    <row r="252" spans="2:50" x14ac:dyDescent="0.2">
      <c r="B252" s="3"/>
      <c r="C252" s="3"/>
      <c r="D252" s="118" t="s">
        <v>248</v>
      </c>
      <c r="E252" s="118"/>
      <c r="F252" s="118" t="s">
        <v>382</v>
      </c>
      <c r="G252" s="118">
        <f t="shared" si="22"/>
        <v>1.1299999999999999</v>
      </c>
      <c r="H252" s="15"/>
      <c r="I252" s="15"/>
      <c r="J252" s="123"/>
      <c r="K252" s="123"/>
      <c r="L252" s="123"/>
      <c r="M252" s="124"/>
      <c r="N252" s="121"/>
      <c r="O252" s="122"/>
      <c r="P252" s="122"/>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121"/>
      <c r="AM252" s="121"/>
      <c r="AN252" s="121"/>
      <c r="AO252" s="121"/>
      <c r="AP252" s="121"/>
      <c r="AQ252" s="121"/>
      <c r="AR252" s="121"/>
      <c r="AS252" s="121"/>
      <c r="AT252" s="121"/>
      <c r="AU252" s="121"/>
      <c r="AV252" s="121"/>
      <c r="AW252" s="121"/>
      <c r="AX252" s="121"/>
    </row>
    <row r="253" spans="2:50" x14ac:dyDescent="0.2">
      <c r="B253" s="3"/>
      <c r="C253" s="3"/>
      <c r="D253" s="118" t="s">
        <v>249</v>
      </c>
      <c r="E253" s="118"/>
      <c r="F253" s="118" t="s">
        <v>427</v>
      </c>
      <c r="G253" s="118">
        <f t="shared" si="22"/>
        <v>1.1200000000000001</v>
      </c>
      <c r="H253" s="15"/>
      <c r="I253" s="15"/>
      <c r="J253" s="123"/>
      <c r="K253" s="123"/>
      <c r="L253" s="123"/>
      <c r="M253" s="124"/>
      <c r="N253" s="121"/>
      <c r="O253" s="122"/>
      <c r="P253" s="122"/>
      <c r="Q253" s="121"/>
      <c r="R253" s="121"/>
      <c r="S253" s="121"/>
      <c r="T253" s="121"/>
      <c r="U253" s="121"/>
      <c r="V253" s="121"/>
      <c r="W253" s="121"/>
      <c r="X253" s="121"/>
      <c r="Y253" s="121"/>
      <c r="Z253" s="121"/>
      <c r="AA253" s="121"/>
      <c r="AB253" s="121"/>
      <c r="AC253" s="121"/>
      <c r="AD253" s="121"/>
      <c r="AE253" s="121"/>
      <c r="AF253" s="121"/>
      <c r="AG253" s="121"/>
      <c r="AH253" s="121"/>
      <c r="AI253" s="121"/>
      <c r="AJ253" s="121"/>
      <c r="AK253" s="121"/>
      <c r="AL253" s="121"/>
      <c r="AM253" s="121"/>
      <c r="AN253" s="121"/>
      <c r="AO253" s="121"/>
      <c r="AP253" s="121"/>
      <c r="AQ253" s="121"/>
      <c r="AR253" s="121"/>
      <c r="AS253" s="121"/>
      <c r="AT253" s="121"/>
      <c r="AU253" s="121"/>
      <c r="AV253" s="121"/>
      <c r="AW253" s="121"/>
      <c r="AX253" s="121"/>
    </row>
    <row r="254" spans="2:50" x14ac:dyDescent="0.2">
      <c r="B254" s="3"/>
      <c r="C254" s="3"/>
      <c r="D254" s="118" t="s">
        <v>250</v>
      </c>
      <c r="E254" s="118"/>
      <c r="F254" s="118" t="s">
        <v>439</v>
      </c>
      <c r="G254" s="118">
        <f t="shared" si="22"/>
        <v>0.94</v>
      </c>
      <c r="H254" s="15"/>
      <c r="I254" s="15"/>
      <c r="J254" s="123"/>
      <c r="K254" s="123"/>
      <c r="L254" s="123"/>
      <c r="M254" s="124"/>
      <c r="N254" s="121"/>
      <c r="O254" s="122"/>
      <c r="P254" s="122"/>
      <c r="Q254" s="121"/>
      <c r="R254" s="121"/>
      <c r="S254" s="121"/>
      <c r="T254" s="121"/>
      <c r="U254" s="121"/>
      <c r="V254" s="121"/>
      <c r="W254" s="121"/>
      <c r="X254" s="121"/>
      <c r="Y254" s="121"/>
      <c r="Z254" s="121"/>
      <c r="AA254" s="121"/>
      <c r="AB254" s="121"/>
      <c r="AC254" s="121"/>
      <c r="AD254" s="121"/>
      <c r="AE254" s="121"/>
      <c r="AF254" s="121"/>
      <c r="AG254" s="121"/>
      <c r="AH254" s="121"/>
      <c r="AI254" s="121"/>
      <c r="AJ254" s="121"/>
      <c r="AK254" s="121"/>
      <c r="AL254" s="121"/>
      <c r="AM254" s="121"/>
      <c r="AN254" s="121"/>
      <c r="AO254" s="121"/>
      <c r="AP254" s="121"/>
      <c r="AQ254" s="121"/>
      <c r="AR254" s="121"/>
      <c r="AS254" s="121"/>
      <c r="AT254" s="121"/>
      <c r="AU254" s="121"/>
      <c r="AV254" s="121"/>
      <c r="AW254" s="121"/>
      <c r="AX254" s="121"/>
    </row>
    <row r="255" spans="2:50" x14ac:dyDescent="0.2">
      <c r="B255" s="3"/>
      <c r="C255" s="3"/>
      <c r="D255" s="118" t="s">
        <v>251</v>
      </c>
      <c r="E255" s="118"/>
      <c r="F255" s="120" t="s">
        <v>398</v>
      </c>
      <c r="G255" s="118">
        <f t="shared" si="22"/>
        <v>1</v>
      </c>
      <c r="H255" s="15"/>
      <c r="I255" s="15"/>
      <c r="J255" s="123"/>
      <c r="K255" s="123"/>
      <c r="L255" s="123"/>
      <c r="M255" s="124"/>
      <c r="N255" s="121"/>
      <c r="O255" s="122"/>
      <c r="P255" s="122"/>
      <c r="Q255" s="121"/>
      <c r="R255" s="121"/>
      <c r="S255" s="121"/>
      <c r="T255" s="121"/>
      <c r="U255" s="121"/>
      <c r="V255" s="121"/>
      <c r="W255" s="121"/>
      <c r="X255" s="121"/>
      <c r="Y255" s="121"/>
      <c r="Z255" s="121"/>
      <c r="AA255" s="121"/>
      <c r="AB255" s="121"/>
      <c r="AC255" s="121"/>
      <c r="AD255" s="121"/>
      <c r="AE255" s="121"/>
      <c r="AF255" s="121"/>
      <c r="AG255" s="121"/>
      <c r="AH255" s="121"/>
      <c r="AI255" s="121"/>
      <c r="AJ255" s="121"/>
      <c r="AK255" s="121"/>
      <c r="AL255" s="121"/>
      <c r="AM255" s="121"/>
      <c r="AN255" s="121"/>
      <c r="AO255" s="121"/>
      <c r="AP255" s="121"/>
      <c r="AQ255" s="121"/>
      <c r="AR255" s="121"/>
      <c r="AS255" s="121"/>
      <c r="AT255" s="121"/>
      <c r="AU255" s="121"/>
      <c r="AV255" s="121"/>
      <c r="AW255" s="121"/>
      <c r="AX255" s="121"/>
    </row>
    <row r="256" spans="2:50" x14ac:dyDescent="0.2">
      <c r="B256" s="3"/>
      <c r="C256" s="3"/>
      <c r="D256" s="118" t="s">
        <v>252</v>
      </c>
      <c r="E256" s="118"/>
      <c r="F256" s="118" t="s">
        <v>449</v>
      </c>
      <c r="G256" s="118">
        <f t="shared" si="22"/>
        <v>1.19</v>
      </c>
      <c r="H256" s="15"/>
      <c r="I256" s="15"/>
      <c r="J256" s="123"/>
      <c r="K256" s="123"/>
      <c r="L256" s="123"/>
      <c r="M256" s="124"/>
      <c r="N256" s="121"/>
      <c r="O256" s="122"/>
      <c r="P256" s="122"/>
      <c r="Q256" s="121"/>
      <c r="R256" s="121"/>
      <c r="S256" s="121"/>
      <c r="T256" s="121"/>
      <c r="U256" s="121"/>
      <c r="V256" s="121"/>
      <c r="W256" s="121"/>
      <c r="X256" s="121"/>
      <c r="Y256" s="121"/>
      <c r="Z256" s="121"/>
      <c r="AA256" s="121"/>
      <c r="AB256" s="121"/>
      <c r="AC256" s="121"/>
      <c r="AD256" s="121"/>
      <c r="AE256" s="121"/>
      <c r="AF256" s="121"/>
      <c r="AG256" s="121"/>
      <c r="AH256" s="121"/>
      <c r="AI256" s="121"/>
      <c r="AJ256" s="121"/>
      <c r="AK256" s="121"/>
      <c r="AL256" s="121"/>
      <c r="AM256" s="121"/>
      <c r="AN256" s="121"/>
      <c r="AO256" s="121"/>
      <c r="AP256" s="121"/>
      <c r="AQ256" s="121"/>
      <c r="AR256" s="121"/>
      <c r="AS256" s="121"/>
      <c r="AT256" s="121"/>
      <c r="AU256" s="121"/>
      <c r="AV256" s="121"/>
      <c r="AW256" s="121"/>
      <c r="AX256" s="121"/>
    </row>
    <row r="257" spans="2:50" x14ac:dyDescent="0.2">
      <c r="B257" s="3"/>
      <c r="C257" s="3"/>
      <c r="D257" s="118" t="s">
        <v>253</v>
      </c>
      <c r="E257" s="118"/>
      <c r="F257" s="118" t="s">
        <v>402</v>
      </c>
      <c r="G257" s="118">
        <f t="shared" si="22"/>
        <v>1.02</v>
      </c>
      <c r="H257" s="15"/>
      <c r="I257" s="15"/>
      <c r="J257" s="123"/>
      <c r="K257" s="123"/>
      <c r="L257" s="123"/>
      <c r="M257" s="124"/>
      <c r="N257" s="121"/>
      <c r="O257" s="122"/>
      <c r="P257" s="122"/>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121"/>
      <c r="AM257" s="121"/>
      <c r="AN257" s="121"/>
      <c r="AO257" s="121"/>
      <c r="AP257" s="121"/>
      <c r="AQ257" s="121"/>
      <c r="AR257" s="121"/>
      <c r="AS257" s="121"/>
      <c r="AT257" s="121"/>
      <c r="AU257" s="121"/>
      <c r="AV257" s="121"/>
      <c r="AW257" s="121"/>
      <c r="AX257" s="121"/>
    </row>
    <row r="258" spans="2:50" x14ac:dyDescent="0.2">
      <c r="B258" s="3"/>
      <c r="C258" s="3"/>
      <c r="D258" s="118" t="s">
        <v>254</v>
      </c>
      <c r="E258" s="118"/>
      <c r="F258" s="118" t="s">
        <v>428</v>
      </c>
      <c r="G258" s="118">
        <f t="shared" si="22"/>
        <v>1.19</v>
      </c>
      <c r="H258" s="15"/>
      <c r="I258" s="15"/>
      <c r="J258" s="123"/>
      <c r="K258" s="123"/>
      <c r="L258" s="123"/>
      <c r="M258" s="124"/>
      <c r="N258" s="121"/>
      <c r="O258" s="122"/>
      <c r="P258" s="122"/>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121"/>
      <c r="AM258" s="121"/>
      <c r="AN258" s="121"/>
      <c r="AO258" s="121"/>
      <c r="AP258" s="121"/>
      <c r="AQ258" s="121"/>
      <c r="AR258" s="121"/>
      <c r="AS258" s="121"/>
      <c r="AT258" s="121"/>
      <c r="AU258" s="121"/>
      <c r="AV258" s="121"/>
      <c r="AW258" s="121"/>
      <c r="AX258" s="121"/>
    </row>
    <row r="259" spans="2:50" x14ac:dyDescent="0.2">
      <c r="B259" s="3"/>
      <c r="C259" s="3"/>
      <c r="D259" s="118" t="s">
        <v>255</v>
      </c>
      <c r="E259" s="118"/>
      <c r="F259" s="118" t="s">
        <v>439</v>
      </c>
      <c r="G259" s="118">
        <f t="shared" si="22"/>
        <v>0.94</v>
      </c>
      <c r="H259" s="15"/>
      <c r="I259" s="15"/>
      <c r="J259" s="123"/>
      <c r="K259" s="123"/>
      <c r="L259" s="123"/>
      <c r="M259" s="124"/>
      <c r="N259" s="121"/>
      <c r="O259" s="122"/>
      <c r="P259" s="122"/>
      <c r="Q259" s="121"/>
      <c r="R259" s="121"/>
      <c r="S259" s="121"/>
      <c r="T259" s="121"/>
      <c r="U259" s="121"/>
      <c r="V259" s="121"/>
      <c r="W259" s="121"/>
      <c r="X259" s="121"/>
      <c r="Y259" s="121"/>
      <c r="Z259" s="121"/>
      <c r="AA259" s="121"/>
      <c r="AB259" s="121"/>
      <c r="AC259" s="121"/>
      <c r="AD259" s="121"/>
      <c r="AE259" s="121"/>
      <c r="AF259" s="121"/>
      <c r="AG259" s="121"/>
      <c r="AH259" s="121"/>
      <c r="AI259" s="121"/>
      <c r="AJ259" s="121"/>
      <c r="AK259" s="121"/>
      <c r="AL259" s="121"/>
      <c r="AM259" s="121"/>
      <c r="AN259" s="121"/>
      <c r="AO259" s="121"/>
      <c r="AP259" s="121"/>
      <c r="AQ259" s="121"/>
      <c r="AR259" s="121"/>
      <c r="AS259" s="121"/>
      <c r="AT259" s="121"/>
      <c r="AU259" s="121"/>
      <c r="AV259" s="121"/>
      <c r="AW259" s="121"/>
      <c r="AX259" s="121"/>
    </row>
    <row r="260" spans="2:50" x14ac:dyDescent="0.2">
      <c r="B260" s="3"/>
      <c r="C260" s="3"/>
      <c r="D260" s="118" t="s">
        <v>256</v>
      </c>
      <c r="E260" s="118"/>
      <c r="F260" s="118" t="s">
        <v>396</v>
      </c>
      <c r="G260" s="118">
        <f t="shared" si="22"/>
        <v>1.02</v>
      </c>
      <c r="H260" s="15"/>
      <c r="I260" s="15"/>
      <c r="J260" s="123"/>
      <c r="K260" s="123"/>
      <c r="L260" s="123"/>
      <c r="M260" s="124"/>
      <c r="N260" s="121"/>
      <c r="O260" s="122"/>
      <c r="P260" s="122"/>
      <c r="Q260" s="121"/>
      <c r="R260" s="121"/>
      <c r="S260" s="121"/>
      <c r="T260" s="121"/>
      <c r="U260" s="121"/>
      <c r="V260" s="121"/>
      <c r="W260" s="121"/>
      <c r="X260" s="121"/>
      <c r="Y260" s="121"/>
      <c r="Z260" s="121"/>
      <c r="AA260" s="121"/>
      <c r="AB260" s="121"/>
      <c r="AC260" s="121"/>
      <c r="AD260" s="121"/>
      <c r="AE260" s="121"/>
      <c r="AF260" s="121"/>
      <c r="AG260" s="121"/>
      <c r="AH260" s="121"/>
      <c r="AI260" s="121"/>
      <c r="AJ260" s="121"/>
      <c r="AK260" s="121"/>
      <c r="AL260" s="121"/>
      <c r="AM260" s="121"/>
      <c r="AN260" s="121"/>
      <c r="AO260" s="121"/>
      <c r="AP260" s="121"/>
      <c r="AQ260" s="121"/>
      <c r="AR260" s="121"/>
      <c r="AS260" s="121"/>
      <c r="AT260" s="121"/>
      <c r="AU260" s="121"/>
      <c r="AV260" s="121"/>
      <c r="AW260" s="121"/>
      <c r="AX260" s="121"/>
    </row>
    <row r="261" spans="2:50" x14ac:dyDescent="0.2">
      <c r="B261" s="3"/>
      <c r="C261" s="3"/>
      <c r="D261" s="118" t="s">
        <v>257</v>
      </c>
      <c r="E261" s="118"/>
      <c r="F261" s="118" t="s">
        <v>394</v>
      </c>
      <c r="G261" s="118">
        <f t="shared" si="22"/>
        <v>1.04</v>
      </c>
      <c r="H261" s="15"/>
      <c r="I261" s="15"/>
      <c r="J261" s="123"/>
      <c r="K261" s="123"/>
      <c r="L261" s="123"/>
      <c r="M261" s="124"/>
      <c r="N261" s="121"/>
      <c r="O261" s="122"/>
      <c r="P261" s="122"/>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121"/>
      <c r="AM261" s="121"/>
      <c r="AN261" s="121"/>
      <c r="AO261" s="121"/>
      <c r="AP261" s="121"/>
      <c r="AQ261" s="121"/>
      <c r="AR261" s="121"/>
      <c r="AS261" s="121"/>
      <c r="AT261" s="121"/>
      <c r="AU261" s="121"/>
      <c r="AV261" s="121"/>
      <c r="AW261" s="121"/>
      <c r="AX261" s="121"/>
    </row>
    <row r="262" spans="2:50" x14ac:dyDescent="0.2">
      <c r="B262" s="3"/>
      <c r="C262" s="3"/>
      <c r="D262" s="118" t="s">
        <v>258</v>
      </c>
      <c r="E262" s="118"/>
      <c r="F262" s="118" t="s">
        <v>402</v>
      </c>
      <c r="G262" s="118">
        <f t="shared" si="22"/>
        <v>1.02</v>
      </c>
      <c r="H262" s="15"/>
      <c r="I262" s="15"/>
      <c r="J262" s="123"/>
      <c r="K262" s="123"/>
      <c r="L262" s="123"/>
      <c r="M262" s="124"/>
      <c r="N262" s="121"/>
      <c r="O262" s="122"/>
      <c r="P262" s="122"/>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121"/>
      <c r="AM262" s="121"/>
      <c r="AN262" s="121"/>
      <c r="AO262" s="121"/>
      <c r="AP262" s="121"/>
      <c r="AQ262" s="121"/>
      <c r="AR262" s="121"/>
      <c r="AS262" s="121"/>
      <c r="AT262" s="121"/>
      <c r="AU262" s="121"/>
      <c r="AV262" s="121"/>
      <c r="AW262" s="121"/>
      <c r="AX262" s="121"/>
    </row>
    <row r="263" spans="2:50" x14ac:dyDescent="0.2">
      <c r="B263" s="3"/>
      <c r="C263" s="3"/>
      <c r="D263" s="118" t="s">
        <v>259</v>
      </c>
      <c r="E263" s="118"/>
      <c r="F263" s="118" t="s">
        <v>392</v>
      </c>
      <c r="G263" s="118">
        <f t="shared" si="22"/>
        <v>1.1399999999999999</v>
      </c>
      <c r="H263" s="15"/>
      <c r="I263" s="15"/>
      <c r="J263" s="123"/>
      <c r="K263" s="123"/>
      <c r="L263" s="123"/>
      <c r="M263" s="124"/>
      <c r="N263" s="121"/>
      <c r="O263" s="122"/>
      <c r="P263" s="122"/>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121"/>
      <c r="AM263" s="121"/>
      <c r="AN263" s="121"/>
      <c r="AO263" s="121"/>
      <c r="AP263" s="121"/>
      <c r="AQ263" s="121"/>
      <c r="AR263" s="121"/>
      <c r="AS263" s="121"/>
      <c r="AT263" s="121"/>
      <c r="AU263" s="121"/>
      <c r="AV263" s="121"/>
      <c r="AW263" s="121"/>
      <c r="AX263" s="121"/>
    </row>
    <row r="264" spans="2:50" x14ac:dyDescent="0.2">
      <c r="B264" s="3"/>
      <c r="C264" s="3"/>
      <c r="D264" s="118" t="s">
        <v>260</v>
      </c>
      <c r="E264" s="118"/>
      <c r="F264" s="118" t="s">
        <v>446</v>
      </c>
      <c r="G264" s="118">
        <f t="shared" si="22"/>
        <v>0.9</v>
      </c>
      <c r="H264" s="15"/>
      <c r="I264" s="15"/>
      <c r="J264" s="123"/>
      <c r="K264" s="123"/>
      <c r="L264" s="123"/>
      <c r="M264" s="124"/>
      <c r="N264" s="121"/>
      <c r="O264" s="122"/>
      <c r="P264" s="122"/>
      <c r="Q264" s="121"/>
      <c r="R264" s="121"/>
      <c r="S264" s="121"/>
      <c r="T264" s="121"/>
      <c r="U264" s="121"/>
      <c r="V264" s="121"/>
      <c r="W264" s="121"/>
      <c r="X264" s="121"/>
      <c r="Y264" s="121"/>
      <c r="Z264" s="121"/>
      <c r="AA264" s="121"/>
      <c r="AB264" s="121"/>
      <c r="AC264" s="121"/>
      <c r="AD264" s="121"/>
      <c r="AE264" s="121"/>
      <c r="AF264" s="121"/>
      <c r="AG264" s="121"/>
      <c r="AH264" s="121"/>
      <c r="AI264" s="121"/>
      <c r="AJ264" s="121"/>
      <c r="AK264" s="121"/>
      <c r="AL264" s="121"/>
      <c r="AM264" s="121"/>
      <c r="AN264" s="121"/>
      <c r="AO264" s="121"/>
      <c r="AP264" s="121"/>
      <c r="AQ264" s="121"/>
      <c r="AR264" s="121"/>
      <c r="AS264" s="121"/>
      <c r="AT264" s="121"/>
      <c r="AU264" s="121"/>
      <c r="AV264" s="121"/>
      <c r="AW264" s="121"/>
      <c r="AX264" s="121"/>
    </row>
    <row r="265" spans="2:50" x14ac:dyDescent="0.2">
      <c r="B265" s="3"/>
      <c r="C265" s="3"/>
      <c r="D265" s="118" t="s">
        <v>261</v>
      </c>
      <c r="E265" s="118"/>
      <c r="F265" s="120" t="s">
        <v>452</v>
      </c>
      <c r="G265" s="118">
        <f t="shared" si="22"/>
        <v>1.01</v>
      </c>
      <c r="H265" s="15"/>
      <c r="I265" s="15"/>
      <c r="J265" s="123"/>
      <c r="K265" s="123"/>
      <c r="L265" s="123"/>
      <c r="M265" s="124"/>
      <c r="N265" s="121"/>
      <c r="O265" s="122"/>
      <c r="P265" s="122"/>
      <c r="Q265" s="121"/>
      <c r="R265" s="121"/>
      <c r="S265" s="121"/>
      <c r="T265" s="121"/>
      <c r="U265" s="121"/>
      <c r="V265" s="121"/>
      <c r="W265" s="121"/>
      <c r="X265" s="121"/>
      <c r="Y265" s="121"/>
      <c r="Z265" s="121"/>
      <c r="AA265" s="121"/>
      <c r="AB265" s="121"/>
      <c r="AC265" s="121"/>
      <c r="AD265" s="121"/>
      <c r="AE265" s="121"/>
      <c r="AF265" s="121"/>
      <c r="AG265" s="121"/>
      <c r="AH265" s="121"/>
      <c r="AI265" s="121"/>
      <c r="AJ265" s="121"/>
      <c r="AK265" s="121"/>
      <c r="AL265" s="121"/>
      <c r="AM265" s="121"/>
      <c r="AN265" s="121"/>
      <c r="AO265" s="121"/>
      <c r="AP265" s="121"/>
      <c r="AQ265" s="121"/>
      <c r="AR265" s="121"/>
      <c r="AS265" s="121"/>
      <c r="AT265" s="121"/>
      <c r="AU265" s="121"/>
      <c r="AV265" s="121"/>
      <c r="AW265" s="121"/>
      <c r="AX265" s="121"/>
    </row>
    <row r="266" spans="2:50" x14ac:dyDescent="0.2">
      <c r="B266" s="3"/>
      <c r="C266" s="3"/>
      <c r="D266" s="118" t="s">
        <v>262</v>
      </c>
      <c r="E266" s="118"/>
      <c r="F266" s="118" t="s">
        <v>449</v>
      </c>
      <c r="G266" s="118">
        <f t="shared" si="22"/>
        <v>1.19</v>
      </c>
      <c r="H266" s="15"/>
      <c r="I266" s="15"/>
      <c r="J266" s="123"/>
      <c r="K266" s="123"/>
      <c r="L266" s="123"/>
      <c r="M266" s="124"/>
      <c r="N266" s="121"/>
      <c r="O266" s="122"/>
      <c r="P266" s="122"/>
      <c r="Q266" s="121"/>
      <c r="R266" s="121"/>
      <c r="S266" s="121"/>
      <c r="T266" s="121"/>
      <c r="U266" s="121"/>
      <c r="V266" s="121"/>
      <c r="W266" s="121"/>
      <c r="X266" s="121"/>
      <c r="Y266" s="121"/>
      <c r="Z266" s="121"/>
      <c r="AA266" s="121"/>
      <c r="AB266" s="121"/>
      <c r="AC266" s="121"/>
      <c r="AD266" s="121"/>
      <c r="AE266" s="121"/>
      <c r="AF266" s="121"/>
      <c r="AG266" s="121"/>
      <c r="AH266" s="121"/>
      <c r="AI266" s="121"/>
      <c r="AJ266" s="121"/>
      <c r="AK266" s="121"/>
      <c r="AL266" s="121"/>
      <c r="AM266" s="121"/>
      <c r="AN266" s="121"/>
      <c r="AO266" s="121"/>
      <c r="AP266" s="121"/>
      <c r="AQ266" s="121"/>
      <c r="AR266" s="121"/>
      <c r="AS266" s="121"/>
      <c r="AT266" s="121"/>
      <c r="AU266" s="121"/>
      <c r="AV266" s="121"/>
      <c r="AW266" s="121"/>
      <c r="AX266" s="121"/>
    </row>
    <row r="267" spans="2:50" x14ac:dyDescent="0.2">
      <c r="B267" s="3"/>
      <c r="C267" s="3"/>
      <c r="D267" s="118" t="s">
        <v>263</v>
      </c>
      <c r="E267" s="118"/>
      <c r="F267" s="118" t="s">
        <v>442</v>
      </c>
      <c r="G267" s="118">
        <f t="shared" si="22"/>
        <v>1.02</v>
      </c>
      <c r="H267" s="15"/>
      <c r="I267" s="15"/>
      <c r="J267" s="123"/>
      <c r="K267" s="123"/>
      <c r="L267" s="123"/>
      <c r="M267" s="124"/>
      <c r="N267" s="121"/>
      <c r="O267" s="122"/>
      <c r="P267" s="122"/>
      <c r="Q267" s="121"/>
      <c r="R267" s="121"/>
      <c r="S267" s="121"/>
      <c r="T267" s="121"/>
      <c r="U267" s="121"/>
      <c r="V267" s="121"/>
      <c r="W267" s="121"/>
      <c r="X267" s="121"/>
      <c r="Y267" s="121"/>
      <c r="Z267" s="121"/>
      <c r="AA267" s="121"/>
      <c r="AB267" s="121"/>
      <c r="AC267" s="121"/>
      <c r="AD267" s="121"/>
      <c r="AE267" s="121"/>
      <c r="AF267" s="121"/>
      <c r="AG267" s="121"/>
      <c r="AH267" s="121"/>
      <c r="AI267" s="121"/>
      <c r="AJ267" s="121"/>
      <c r="AK267" s="121"/>
      <c r="AL267" s="121"/>
      <c r="AM267" s="121"/>
      <c r="AN267" s="121"/>
      <c r="AO267" s="121"/>
      <c r="AP267" s="121"/>
      <c r="AQ267" s="121"/>
      <c r="AR267" s="121"/>
      <c r="AS267" s="121"/>
      <c r="AT267" s="121"/>
      <c r="AU267" s="121"/>
      <c r="AV267" s="121"/>
      <c r="AW267" s="121"/>
      <c r="AX267" s="121"/>
    </row>
    <row r="268" spans="2:50" x14ac:dyDescent="0.2">
      <c r="B268" s="3"/>
      <c r="C268" s="3"/>
      <c r="D268" s="118" t="s">
        <v>264</v>
      </c>
      <c r="E268" s="118"/>
      <c r="F268" s="118" t="s">
        <v>397</v>
      </c>
      <c r="G268" s="118">
        <f t="shared" si="22"/>
        <v>1.1000000000000001</v>
      </c>
      <c r="H268" s="15"/>
      <c r="I268" s="15"/>
      <c r="J268" s="123"/>
      <c r="K268" s="123"/>
      <c r="L268" s="123"/>
      <c r="M268" s="124"/>
      <c r="N268" s="121"/>
      <c r="O268" s="122"/>
      <c r="P268" s="122"/>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row>
    <row r="269" spans="2:50" x14ac:dyDescent="0.2">
      <c r="B269" s="3"/>
      <c r="C269" s="3"/>
      <c r="D269" s="118" t="s">
        <v>265</v>
      </c>
      <c r="E269" s="118"/>
      <c r="F269" s="118" t="s">
        <v>434</v>
      </c>
      <c r="G269" s="118">
        <f t="shared" si="22"/>
        <v>1.03</v>
      </c>
      <c r="H269" s="15"/>
      <c r="I269" s="15"/>
      <c r="J269" s="123"/>
      <c r="K269" s="123"/>
      <c r="L269" s="123"/>
      <c r="M269" s="124"/>
      <c r="N269" s="121"/>
      <c r="O269" s="122"/>
      <c r="P269" s="122"/>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121"/>
      <c r="AM269" s="121"/>
      <c r="AN269" s="121"/>
      <c r="AO269" s="121"/>
      <c r="AP269" s="121"/>
      <c r="AQ269" s="121"/>
      <c r="AR269" s="121"/>
      <c r="AS269" s="121"/>
      <c r="AT269" s="121"/>
      <c r="AU269" s="121"/>
      <c r="AV269" s="121"/>
      <c r="AW269" s="121"/>
      <c r="AX269" s="121"/>
    </row>
    <row r="270" spans="2:50" x14ac:dyDescent="0.2">
      <c r="B270" s="3"/>
      <c r="C270" s="3"/>
      <c r="D270" s="118" t="s">
        <v>266</v>
      </c>
      <c r="E270" s="118"/>
      <c r="F270" s="118" t="s">
        <v>439</v>
      </c>
      <c r="G270" s="118">
        <f t="shared" si="22"/>
        <v>0.94</v>
      </c>
      <c r="H270" s="15"/>
      <c r="I270" s="15"/>
      <c r="J270" s="123"/>
      <c r="K270" s="123"/>
      <c r="L270" s="123"/>
      <c r="M270" s="124"/>
      <c r="N270" s="121"/>
      <c r="O270" s="122"/>
      <c r="P270" s="122"/>
      <c r="Q270" s="121"/>
      <c r="R270" s="121"/>
      <c r="S270" s="121"/>
      <c r="T270" s="121"/>
      <c r="U270" s="121"/>
      <c r="V270" s="121"/>
      <c r="W270" s="121"/>
      <c r="X270" s="121"/>
      <c r="Y270" s="121"/>
      <c r="Z270" s="121"/>
      <c r="AA270" s="121"/>
      <c r="AB270" s="121"/>
      <c r="AC270" s="121"/>
      <c r="AD270" s="121"/>
      <c r="AE270" s="121"/>
      <c r="AF270" s="121"/>
      <c r="AG270" s="121"/>
      <c r="AH270" s="121"/>
      <c r="AI270" s="121"/>
      <c r="AJ270" s="121"/>
      <c r="AK270" s="121"/>
      <c r="AL270" s="121"/>
      <c r="AM270" s="121"/>
      <c r="AN270" s="121"/>
      <c r="AO270" s="121"/>
      <c r="AP270" s="121"/>
      <c r="AQ270" s="121"/>
      <c r="AR270" s="121"/>
      <c r="AS270" s="121"/>
      <c r="AT270" s="121"/>
      <c r="AU270" s="121"/>
      <c r="AV270" s="121"/>
      <c r="AW270" s="121"/>
      <c r="AX270" s="121"/>
    </row>
    <row r="271" spans="2:50" x14ac:dyDescent="0.2">
      <c r="B271" s="3"/>
      <c r="C271" s="3"/>
      <c r="D271" s="118" t="s">
        <v>267</v>
      </c>
      <c r="E271" s="118"/>
      <c r="F271" s="118" t="s">
        <v>396</v>
      </c>
      <c r="G271" s="118">
        <f t="shared" si="22"/>
        <v>1.02</v>
      </c>
      <c r="H271" s="15"/>
      <c r="I271" s="15"/>
      <c r="J271" s="123"/>
      <c r="K271" s="123"/>
      <c r="L271" s="123"/>
      <c r="M271" s="124"/>
      <c r="N271" s="121"/>
      <c r="O271" s="122"/>
      <c r="P271" s="122"/>
      <c r="Q271" s="121"/>
      <c r="R271" s="121"/>
      <c r="S271" s="121"/>
      <c r="T271" s="121"/>
      <c r="U271" s="121"/>
      <c r="V271" s="121"/>
      <c r="W271" s="121"/>
      <c r="X271" s="121"/>
      <c r="Y271" s="121"/>
      <c r="Z271" s="121"/>
      <c r="AA271" s="121"/>
      <c r="AB271" s="121"/>
      <c r="AC271" s="121"/>
      <c r="AD271" s="121"/>
      <c r="AE271" s="121"/>
      <c r="AF271" s="121"/>
      <c r="AG271" s="121"/>
      <c r="AH271" s="121"/>
      <c r="AI271" s="121"/>
      <c r="AJ271" s="121"/>
      <c r="AK271" s="121"/>
      <c r="AL271" s="121"/>
      <c r="AM271" s="121"/>
      <c r="AN271" s="121"/>
      <c r="AO271" s="121"/>
      <c r="AP271" s="121"/>
      <c r="AQ271" s="121"/>
      <c r="AR271" s="121"/>
      <c r="AS271" s="121"/>
      <c r="AT271" s="121"/>
      <c r="AU271" s="121"/>
      <c r="AV271" s="121"/>
      <c r="AW271" s="121"/>
      <c r="AX271" s="121"/>
    </row>
    <row r="272" spans="2:50" x14ac:dyDescent="0.2">
      <c r="B272" s="3"/>
      <c r="C272" s="3"/>
      <c r="D272" s="118" t="s">
        <v>268</v>
      </c>
      <c r="E272" s="118"/>
      <c r="F272" s="118" t="s">
        <v>453</v>
      </c>
      <c r="G272" s="118">
        <f t="shared" si="22"/>
        <v>0.99</v>
      </c>
      <c r="H272" s="15"/>
      <c r="I272" s="15"/>
      <c r="J272" s="123"/>
      <c r="K272" s="123"/>
      <c r="L272" s="123"/>
      <c r="M272" s="124"/>
      <c r="N272" s="121"/>
      <c r="O272" s="122"/>
      <c r="P272" s="122"/>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c r="AN272" s="121"/>
      <c r="AO272" s="121"/>
      <c r="AP272" s="121"/>
      <c r="AQ272" s="121"/>
      <c r="AR272" s="121"/>
      <c r="AS272" s="121"/>
      <c r="AT272" s="121"/>
      <c r="AU272" s="121"/>
      <c r="AV272" s="121"/>
      <c r="AW272" s="121"/>
      <c r="AX272" s="121"/>
    </row>
    <row r="273" spans="2:50" x14ac:dyDescent="0.2">
      <c r="B273" s="3"/>
      <c r="C273" s="3"/>
      <c r="D273" s="118" t="s">
        <v>269</v>
      </c>
      <c r="E273" s="118"/>
      <c r="F273" s="118" t="s">
        <v>439</v>
      </c>
      <c r="G273" s="118">
        <f t="shared" si="22"/>
        <v>0.94</v>
      </c>
      <c r="H273" s="15"/>
      <c r="I273" s="15"/>
      <c r="J273" s="123"/>
      <c r="K273" s="123"/>
      <c r="L273" s="123"/>
      <c r="M273" s="124"/>
      <c r="N273" s="121"/>
      <c r="O273" s="122"/>
      <c r="P273" s="122"/>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row>
    <row r="274" spans="2:50" x14ac:dyDescent="0.2">
      <c r="B274" s="3"/>
      <c r="C274" s="3"/>
      <c r="D274" s="118" t="s">
        <v>270</v>
      </c>
      <c r="E274" s="118"/>
      <c r="F274" s="118" t="s">
        <v>445</v>
      </c>
      <c r="G274" s="118">
        <f t="shared" si="22"/>
        <v>0.96</v>
      </c>
      <c r="H274" s="15"/>
      <c r="I274" s="15"/>
      <c r="J274" s="123"/>
      <c r="K274" s="123"/>
      <c r="L274" s="123"/>
      <c r="M274" s="124"/>
      <c r="N274" s="121"/>
      <c r="O274" s="122"/>
      <c r="P274" s="122"/>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row>
    <row r="275" spans="2:50" x14ac:dyDescent="0.2">
      <c r="B275" s="3"/>
      <c r="C275" s="3"/>
      <c r="D275" s="118" t="s">
        <v>271</v>
      </c>
      <c r="E275" s="118"/>
      <c r="F275" s="118" t="s">
        <v>436</v>
      </c>
      <c r="G275" s="118">
        <f t="shared" si="22"/>
        <v>1.02</v>
      </c>
      <c r="H275" s="15"/>
      <c r="I275" s="15"/>
      <c r="J275" s="123"/>
      <c r="K275" s="123"/>
      <c r="L275" s="123"/>
      <c r="M275" s="124"/>
      <c r="N275" s="121"/>
      <c r="O275" s="122"/>
      <c r="P275" s="122"/>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1"/>
      <c r="AR275" s="121"/>
      <c r="AS275" s="121"/>
      <c r="AT275" s="121"/>
      <c r="AU275" s="121"/>
      <c r="AV275" s="121"/>
      <c r="AW275" s="121"/>
      <c r="AX275" s="121"/>
    </row>
    <row r="276" spans="2:50" x14ac:dyDescent="0.2">
      <c r="B276" s="3"/>
      <c r="C276" s="3"/>
      <c r="D276" s="118" t="s">
        <v>272</v>
      </c>
      <c r="E276" s="118"/>
      <c r="F276" s="118" t="s">
        <v>439</v>
      </c>
      <c r="G276" s="118">
        <f t="shared" si="22"/>
        <v>0.94</v>
      </c>
      <c r="H276" s="15"/>
      <c r="I276" s="15"/>
      <c r="J276" s="123"/>
      <c r="K276" s="123"/>
      <c r="L276" s="123"/>
      <c r="M276" s="124"/>
      <c r="N276" s="121"/>
      <c r="O276" s="122"/>
      <c r="P276" s="122"/>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c r="AN276" s="121"/>
      <c r="AO276" s="121"/>
      <c r="AP276" s="121"/>
      <c r="AQ276" s="121"/>
      <c r="AR276" s="121"/>
      <c r="AS276" s="121"/>
      <c r="AT276" s="121"/>
      <c r="AU276" s="121"/>
      <c r="AV276" s="121"/>
      <c r="AW276" s="121"/>
      <c r="AX276" s="121"/>
    </row>
    <row r="277" spans="2:50" x14ac:dyDescent="0.2">
      <c r="B277" s="3"/>
      <c r="C277" s="3"/>
      <c r="D277" s="118" t="s">
        <v>273</v>
      </c>
      <c r="E277" s="118"/>
      <c r="F277" s="118" t="s">
        <v>401</v>
      </c>
      <c r="G277" s="118">
        <f t="shared" si="22"/>
        <v>1.1399999999999999</v>
      </c>
      <c r="H277" s="15"/>
      <c r="I277" s="15"/>
      <c r="J277" s="123"/>
      <c r="K277" s="123"/>
      <c r="L277" s="123"/>
      <c r="M277" s="124"/>
      <c r="N277" s="121"/>
      <c r="O277" s="122"/>
      <c r="P277" s="122"/>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row>
    <row r="278" spans="2:50" x14ac:dyDescent="0.2">
      <c r="B278" s="3"/>
      <c r="C278" s="3"/>
      <c r="D278" s="118" t="s">
        <v>274</v>
      </c>
      <c r="E278" s="118"/>
      <c r="F278" s="118" t="s">
        <v>446</v>
      </c>
      <c r="G278" s="118">
        <f t="shared" si="22"/>
        <v>0.9</v>
      </c>
      <c r="H278" s="15"/>
      <c r="I278" s="15"/>
      <c r="J278" s="123"/>
      <c r="K278" s="123"/>
      <c r="L278" s="123"/>
      <c r="M278" s="124"/>
      <c r="N278" s="121"/>
      <c r="O278" s="122"/>
      <c r="P278" s="122"/>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row>
    <row r="279" spans="2:50" x14ac:dyDescent="0.2">
      <c r="B279" s="3"/>
      <c r="C279" s="3"/>
      <c r="D279" s="118" t="s">
        <v>275</v>
      </c>
      <c r="E279" s="118"/>
      <c r="F279" s="118" t="s">
        <v>401</v>
      </c>
      <c r="G279" s="118">
        <f t="shared" si="22"/>
        <v>1.1399999999999999</v>
      </c>
      <c r="H279" s="15"/>
      <c r="I279" s="15"/>
      <c r="J279" s="123"/>
      <c r="K279" s="123"/>
      <c r="L279" s="123"/>
      <c r="M279" s="124"/>
      <c r="N279" s="121"/>
      <c r="O279" s="122"/>
      <c r="P279" s="122"/>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1"/>
      <c r="AR279" s="121"/>
      <c r="AS279" s="121"/>
      <c r="AT279" s="121"/>
      <c r="AU279" s="121"/>
      <c r="AV279" s="121"/>
      <c r="AW279" s="121"/>
      <c r="AX279" s="121"/>
    </row>
    <row r="280" spans="2:50" x14ac:dyDescent="0.2">
      <c r="B280" s="3"/>
      <c r="C280" s="3"/>
      <c r="D280" s="118" t="s">
        <v>276</v>
      </c>
      <c r="E280" s="118"/>
      <c r="F280" s="118" t="s">
        <v>276</v>
      </c>
      <c r="G280" s="118">
        <f t="shared" si="22"/>
        <v>0.98</v>
      </c>
      <c r="H280" s="15"/>
      <c r="I280" s="15"/>
      <c r="J280" s="123"/>
      <c r="K280" s="123"/>
      <c r="L280" s="123"/>
      <c r="M280" s="124"/>
      <c r="N280" s="121"/>
      <c r="O280" s="122"/>
      <c r="P280" s="122"/>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1"/>
      <c r="AR280" s="121"/>
      <c r="AS280" s="121"/>
      <c r="AT280" s="121"/>
      <c r="AU280" s="121"/>
      <c r="AV280" s="121"/>
      <c r="AW280" s="121"/>
      <c r="AX280" s="121"/>
    </row>
    <row r="281" spans="2:50" x14ac:dyDescent="0.2">
      <c r="B281" s="3"/>
      <c r="C281" s="3"/>
      <c r="D281" s="118" t="s">
        <v>277</v>
      </c>
      <c r="E281" s="118"/>
      <c r="F281" s="118" t="s">
        <v>382</v>
      </c>
      <c r="G281" s="118">
        <f t="shared" si="22"/>
        <v>1.1299999999999999</v>
      </c>
      <c r="H281" s="15"/>
      <c r="I281" s="15"/>
      <c r="J281" s="123"/>
      <c r="K281" s="123"/>
      <c r="L281" s="123"/>
      <c r="M281" s="124"/>
      <c r="N281" s="121"/>
      <c r="O281" s="122"/>
      <c r="P281" s="122"/>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c r="AN281" s="121"/>
      <c r="AO281" s="121"/>
      <c r="AP281" s="121"/>
      <c r="AQ281" s="121"/>
      <c r="AR281" s="121"/>
      <c r="AS281" s="121"/>
      <c r="AT281" s="121"/>
      <c r="AU281" s="121"/>
      <c r="AV281" s="121"/>
      <c r="AW281" s="121"/>
      <c r="AX281" s="121"/>
    </row>
    <row r="282" spans="2:50" x14ac:dyDescent="0.2">
      <c r="B282" s="3"/>
      <c r="C282" s="3"/>
      <c r="D282" s="118" t="s">
        <v>278</v>
      </c>
      <c r="E282" s="118"/>
      <c r="F282" s="118" t="s">
        <v>453</v>
      </c>
      <c r="G282" s="118">
        <f t="shared" si="22"/>
        <v>0.99</v>
      </c>
      <c r="H282" s="15"/>
      <c r="I282" s="15"/>
      <c r="J282" s="123"/>
      <c r="K282" s="123"/>
      <c r="L282" s="123"/>
      <c r="M282" s="124"/>
      <c r="N282" s="121"/>
      <c r="O282" s="122"/>
      <c r="P282" s="122"/>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c r="AN282" s="121"/>
      <c r="AO282" s="121"/>
      <c r="AP282" s="121"/>
      <c r="AQ282" s="121"/>
      <c r="AR282" s="121"/>
      <c r="AS282" s="121"/>
      <c r="AT282" s="121"/>
      <c r="AU282" s="121"/>
      <c r="AV282" s="121"/>
      <c r="AW282" s="121"/>
      <c r="AX282" s="121"/>
    </row>
    <row r="283" spans="2:50" x14ac:dyDescent="0.2">
      <c r="B283" s="3"/>
      <c r="C283" s="3"/>
      <c r="D283" s="118" t="s">
        <v>279</v>
      </c>
      <c r="E283" s="118"/>
      <c r="F283" s="118" t="s">
        <v>383</v>
      </c>
      <c r="G283" s="118">
        <f t="shared" si="22"/>
        <v>1.1100000000000001</v>
      </c>
      <c r="H283" s="15"/>
      <c r="I283" s="15"/>
      <c r="J283" s="123"/>
      <c r="K283" s="123"/>
      <c r="L283" s="123"/>
      <c r="M283" s="124"/>
      <c r="N283" s="121"/>
      <c r="O283" s="122"/>
      <c r="P283" s="122"/>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1"/>
      <c r="AR283" s="121"/>
      <c r="AS283" s="121"/>
      <c r="AT283" s="121"/>
      <c r="AU283" s="121"/>
      <c r="AV283" s="121"/>
      <c r="AW283" s="121"/>
      <c r="AX283" s="121"/>
    </row>
    <row r="284" spans="2:50" x14ac:dyDescent="0.2">
      <c r="B284" s="3"/>
      <c r="C284" s="3"/>
      <c r="D284" s="118" t="s">
        <v>280</v>
      </c>
      <c r="E284" s="118"/>
      <c r="F284" s="118" t="s">
        <v>384</v>
      </c>
      <c r="G284" s="118">
        <f t="shared" si="22"/>
        <v>1</v>
      </c>
      <c r="H284" s="15"/>
      <c r="I284" s="15"/>
      <c r="J284" s="123"/>
      <c r="K284" s="123"/>
      <c r="L284" s="123"/>
      <c r="M284" s="124"/>
      <c r="N284" s="121"/>
      <c r="O284" s="122"/>
      <c r="P284" s="122"/>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1"/>
      <c r="AR284" s="121"/>
      <c r="AS284" s="121"/>
      <c r="AT284" s="121"/>
      <c r="AU284" s="121"/>
      <c r="AV284" s="121"/>
      <c r="AW284" s="121"/>
      <c r="AX284" s="121"/>
    </row>
    <row r="285" spans="2:50" x14ac:dyDescent="0.2">
      <c r="B285" s="3"/>
      <c r="C285" s="3"/>
      <c r="D285" s="118" t="s">
        <v>281</v>
      </c>
      <c r="E285" s="118"/>
      <c r="F285" s="118" t="s">
        <v>388</v>
      </c>
      <c r="G285" s="118">
        <f t="shared" si="22"/>
        <v>1.04</v>
      </c>
      <c r="H285" s="15"/>
      <c r="I285" s="15"/>
      <c r="J285" s="123"/>
      <c r="K285" s="123"/>
      <c r="L285" s="123"/>
      <c r="M285" s="124"/>
      <c r="N285" s="121"/>
      <c r="O285" s="122"/>
      <c r="P285" s="122"/>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row>
    <row r="286" spans="2:50" x14ac:dyDescent="0.2">
      <c r="B286" s="3"/>
      <c r="C286" s="3"/>
      <c r="D286" s="118" t="s">
        <v>282</v>
      </c>
      <c r="E286" s="118"/>
      <c r="F286" s="118" t="s">
        <v>454</v>
      </c>
      <c r="G286" s="118">
        <f t="shared" si="22"/>
        <v>1.1299999999999999</v>
      </c>
      <c r="H286" s="15"/>
      <c r="I286" s="15"/>
      <c r="J286" s="123"/>
      <c r="K286" s="123"/>
      <c r="L286" s="123"/>
      <c r="M286" s="124"/>
      <c r="N286" s="121"/>
      <c r="O286" s="122"/>
      <c r="P286" s="122"/>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c r="AN286" s="121"/>
      <c r="AO286" s="121"/>
      <c r="AP286" s="121"/>
      <c r="AQ286" s="121"/>
      <c r="AR286" s="121"/>
      <c r="AS286" s="121"/>
      <c r="AT286" s="121"/>
      <c r="AU286" s="121"/>
      <c r="AV286" s="121"/>
      <c r="AW286" s="121"/>
      <c r="AX286" s="121"/>
    </row>
    <row r="287" spans="2:50" x14ac:dyDescent="0.2">
      <c r="B287" s="3"/>
      <c r="C287" s="3"/>
      <c r="D287" s="118" t="s">
        <v>283</v>
      </c>
      <c r="E287" s="118"/>
      <c r="F287" s="118" t="s">
        <v>395</v>
      </c>
      <c r="G287" s="118">
        <f t="shared" si="22"/>
        <v>0.9</v>
      </c>
      <c r="H287" s="15"/>
      <c r="I287" s="15"/>
      <c r="J287" s="123"/>
      <c r="K287" s="123"/>
      <c r="L287" s="123"/>
      <c r="M287" s="124"/>
      <c r="N287" s="121"/>
      <c r="O287" s="122"/>
      <c r="P287" s="122"/>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c r="AN287" s="121"/>
      <c r="AO287" s="121"/>
      <c r="AP287" s="121"/>
      <c r="AQ287" s="121"/>
      <c r="AR287" s="121"/>
      <c r="AS287" s="121"/>
      <c r="AT287" s="121"/>
      <c r="AU287" s="121"/>
      <c r="AV287" s="121"/>
      <c r="AW287" s="121"/>
      <c r="AX287" s="121"/>
    </row>
    <row r="288" spans="2:50" x14ac:dyDescent="0.2">
      <c r="B288" s="3"/>
      <c r="C288" s="3"/>
      <c r="D288" s="118" t="s">
        <v>284</v>
      </c>
      <c r="E288" s="118"/>
      <c r="F288" s="118" t="s">
        <v>389</v>
      </c>
      <c r="G288" s="118">
        <f t="shared" si="22"/>
        <v>0.97</v>
      </c>
      <c r="H288" s="15"/>
      <c r="I288" s="15"/>
      <c r="J288" s="123"/>
      <c r="K288" s="123"/>
      <c r="L288" s="123"/>
      <c r="M288" s="124"/>
      <c r="N288" s="121"/>
      <c r="O288" s="122"/>
      <c r="P288" s="122"/>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121"/>
      <c r="AM288" s="121"/>
      <c r="AN288" s="121"/>
      <c r="AO288" s="121"/>
      <c r="AP288" s="121"/>
      <c r="AQ288" s="121"/>
      <c r="AR288" s="121"/>
      <c r="AS288" s="121"/>
      <c r="AT288" s="121"/>
      <c r="AU288" s="121"/>
      <c r="AV288" s="121"/>
      <c r="AW288" s="121"/>
      <c r="AX288" s="121"/>
    </row>
    <row r="289" spans="2:50" x14ac:dyDescent="0.2">
      <c r="B289" s="3"/>
      <c r="C289" s="3"/>
      <c r="D289" s="118" t="s">
        <v>285</v>
      </c>
      <c r="E289" s="118"/>
      <c r="F289" s="118" t="s">
        <v>435</v>
      </c>
      <c r="G289" s="118">
        <f t="shared" si="22"/>
        <v>1.03</v>
      </c>
      <c r="H289" s="15"/>
      <c r="I289" s="15"/>
      <c r="J289" s="123"/>
      <c r="K289" s="123"/>
      <c r="L289" s="123"/>
      <c r="M289" s="124"/>
      <c r="N289" s="121"/>
      <c r="O289" s="122"/>
      <c r="P289" s="122"/>
      <c r="Q289" s="121"/>
      <c r="R289" s="121"/>
      <c r="S289" s="121"/>
      <c r="T289" s="121"/>
      <c r="U289" s="121"/>
      <c r="V289" s="121"/>
      <c r="W289" s="121"/>
      <c r="X289" s="121"/>
      <c r="Y289" s="121"/>
      <c r="Z289" s="121"/>
      <c r="AA289" s="121"/>
      <c r="AB289" s="121"/>
      <c r="AC289" s="121"/>
      <c r="AD289" s="121"/>
      <c r="AE289" s="121"/>
      <c r="AF289" s="121"/>
      <c r="AG289" s="121"/>
      <c r="AH289" s="121"/>
      <c r="AI289" s="121"/>
      <c r="AJ289" s="121"/>
      <c r="AK289" s="121"/>
      <c r="AL289" s="121"/>
      <c r="AM289" s="121"/>
      <c r="AN289" s="121"/>
      <c r="AO289" s="121"/>
      <c r="AP289" s="121"/>
      <c r="AQ289" s="121"/>
      <c r="AR289" s="121"/>
      <c r="AS289" s="121"/>
      <c r="AT289" s="121"/>
      <c r="AU289" s="121"/>
      <c r="AV289" s="121"/>
      <c r="AW289" s="121"/>
      <c r="AX289" s="121"/>
    </row>
    <row r="290" spans="2:50" x14ac:dyDescent="0.2">
      <c r="B290" s="3"/>
      <c r="C290" s="3"/>
      <c r="D290" s="118" t="s">
        <v>286</v>
      </c>
      <c r="E290" s="118"/>
      <c r="F290" s="118" t="s">
        <v>435</v>
      </c>
      <c r="G290" s="118">
        <f t="shared" si="22"/>
        <v>1.03</v>
      </c>
      <c r="H290" s="15"/>
      <c r="I290" s="15"/>
      <c r="J290" s="123"/>
      <c r="K290" s="123"/>
      <c r="L290" s="123"/>
      <c r="M290" s="124"/>
      <c r="N290" s="121"/>
      <c r="O290" s="122"/>
      <c r="P290" s="122"/>
      <c r="Q290" s="121"/>
      <c r="R290" s="121"/>
      <c r="S290" s="121"/>
      <c r="T290" s="121"/>
      <c r="U290" s="121"/>
      <c r="V290" s="121"/>
      <c r="W290" s="121"/>
      <c r="X290" s="121"/>
      <c r="Y290" s="121"/>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row>
    <row r="291" spans="2:50" x14ac:dyDescent="0.2">
      <c r="B291" s="3"/>
      <c r="C291" s="3"/>
      <c r="D291" s="118" t="s">
        <v>287</v>
      </c>
      <c r="E291" s="118"/>
      <c r="F291" s="118" t="s">
        <v>387</v>
      </c>
      <c r="G291" s="118">
        <f t="shared" si="22"/>
        <v>1.04</v>
      </c>
      <c r="H291" s="15"/>
      <c r="I291" s="15"/>
      <c r="J291" s="123"/>
      <c r="K291" s="123"/>
      <c r="L291" s="123"/>
      <c r="M291" s="124"/>
      <c r="N291" s="121"/>
      <c r="O291" s="122"/>
      <c r="P291" s="122"/>
      <c r="Q291" s="121"/>
      <c r="R291" s="121"/>
      <c r="S291" s="121"/>
      <c r="T291" s="121"/>
      <c r="U291" s="121"/>
      <c r="V291" s="121"/>
      <c r="W291" s="121"/>
      <c r="X291" s="121"/>
      <c r="Y291" s="121"/>
      <c r="Z291" s="121"/>
      <c r="AA291" s="121"/>
      <c r="AB291" s="121"/>
      <c r="AC291" s="121"/>
      <c r="AD291" s="121"/>
      <c r="AE291" s="121"/>
      <c r="AF291" s="121"/>
      <c r="AG291" s="121"/>
      <c r="AH291" s="121"/>
      <c r="AI291" s="121"/>
      <c r="AJ291" s="121"/>
      <c r="AK291" s="121"/>
      <c r="AL291" s="121"/>
      <c r="AM291" s="121"/>
      <c r="AN291" s="121"/>
      <c r="AO291" s="121"/>
      <c r="AP291" s="121"/>
      <c r="AQ291" s="121"/>
      <c r="AR291" s="121"/>
      <c r="AS291" s="121"/>
      <c r="AT291" s="121"/>
      <c r="AU291" s="121"/>
      <c r="AV291" s="121"/>
      <c r="AW291" s="121"/>
      <c r="AX291" s="121"/>
    </row>
    <row r="292" spans="2:50" x14ac:dyDescent="0.2">
      <c r="B292" s="3"/>
      <c r="C292" s="3"/>
      <c r="D292" s="118" t="s">
        <v>288</v>
      </c>
      <c r="E292" s="118"/>
      <c r="F292" s="118" t="s">
        <v>438</v>
      </c>
      <c r="G292" s="118">
        <f t="shared" si="22"/>
        <v>0.96</v>
      </c>
      <c r="H292" s="15"/>
      <c r="I292" s="15"/>
      <c r="J292" s="123"/>
      <c r="K292" s="123"/>
      <c r="L292" s="123"/>
      <c r="M292" s="124"/>
      <c r="N292" s="121"/>
      <c r="O292" s="122"/>
      <c r="P292" s="122"/>
      <c r="Q292" s="121"/>
      <c r="R292" s="121"/>
      <c r="S292" s="121"/>
      <c r="T292" s="121"/>
      <c r="U292" s="121"/>
      <c r="V292" s="121"/>
      <c r="W292" s="121"/>
      <c r="X292" s="121"/>
      <c r="Y292" s="121"/>
      <c r="Z292" s="121"/>
      <c r="AA292" s="121"/>
      <c r="AB292" s="121"/>
      <c r="AC292" s="121"/>
      <c r="AD292" s="121"/>
      <c r="AE292" s="121"/>
      <c r="AF292" s="121"/>
      <c r="AG292" s="121"/>
      <c r="AH292" s="121"/>
      <c r="AI292" s="121"/>
      <c r="AJ292" s="121"/>
      <c r="AK292" s="121"/>
      <c r="AL292" s="121"/>
      <c r="AM292" s="121"/>
      <c r="AN292" s="121"/>
      <c r="AO292" s="121"/>
      <c r="AP292" s="121"/>
      <c r="AQ292" s="121"/>
      <c r="AR292" s="121"/>
      <c r="AS292" s="121"/>
      <c r="AT292" s="121"/>
      <c r="AU292" s="121"/>
      <c r="AV292" s="121"/>
      <c r="AW292" s="121"/>
      <c r="AX292" s="121"/>
    </row>
    <row r="293" spans="2:50" x14ac:dyDescent="0.2">
      <c r="B293" s="3"/>
      <c r="C293" s="3"/>
      <c r="D293" s="118" t="s">
        <v>289</v>
      </c>
      <c r="E293" s="118"/>
      <c r="F293" s="118" t="s">
        <v>440</v>
      </c>
      <c r="G293" s="118">
        <f t="shared" si="22"/>
        <v>1.08</v>
      </c>
      <c r="H293" s="15"/>
      <c r="I293" s="15"/>
      <c r="J293" s="123"/>
      <c r="K293" s="123"/>
      <c r="L293" s="123"/>
      <c r="M293" s="124"/>
      <c r="N293" s="121"/>
      <c r="O293" s="122"/>
      <c r="P293" s="122"/>
      <c r="Q293" s="121"/>
      <c r="R293" s="121"/>
      <c r="S293" s="121"/>
      <c r="T293" s="121"/>
      <c r="U293" s="121"/>
      <c r="V293" s="121"/>
      <c r="W293" s="121"/>
      <c r="X293" s="121"/>
      <c r="Y293" s="121"/>
      <c r="Z293" s="121"/>
      <c r="AA293" s="121"/>
      <c r="AB293" s="121"/>
      <c r="AC293" s="121"/>
      <c r="AD293" s="121"/>
      <c r="AE293" s="121"/>
      <c r="AF293" s="121"/>
      <c r="AG293" s="121"/>
      <c r="AH293" s="121"/>
      <c r="AI293" s="121"/>
      <c r="AJ293" s="121"/>
      <c r="AK293" s="121"/>
      <c r="AL293" s="121"/>
      <c r="AM293" s="121"/>
      <c r="AN293" s="121"/>
      <c r="AO293" s="121"/>
      <c r="AP293" s="121"/>
      <c r="AQ293" s="121"/>
      <c r="AR293" s="121"/>
      <c r="AS293" s="121"/>
      <c r="AT293" s="121"/>
      <c r="AU293" s="121"/>
      <c r="AV293" s="121"/>
      <c r="AW293" s="121"/>
      <c r="AX293" s="121"/>
    </row>
    <row r="294" spans="2:50" x14ac:dyDescent="0.2">
      <c r="B294" s="3"/>
      <c r="C294" s="3"/>
      <c r="D294" s="118" t="s">
        <v>290</v>
      </c>
      <c r="E294" s="118"/>
      <c r="F294" s="118" t="s">
        <v>443</v>
      </c>
      <c r="G294" s="118">
        <f t="shared" si="22"/>
        <v>1.0900000000000001</v>
      </c>
      <c r="H294" s="15"/>
      <c r="I294" s="15"/>
      <c r="J294" s="123"/>
      <c r="K294" s="123"/>
      <c r="L294" s="123"/>
      <c r="M294" s="124"/>
      <c r="N294" s="121"/>
      <c r="O294" s="122"/>
      <c r="P294" s="122"/>
      <c r="Q294" s="121"/>
      <c r="R294" s="121"/>
      <c r="S294" s="121"/>
      <c r="T294" s="121"/>
      <c r="U294" s="121"/>
      <c r="V294" s="121"/>
      <c r="W294" s="121"/>
      <c r="X294" s="121"/>
      <c r="Y294" s="121"/>
      <c r="Z294" s="121"/>
      <c r="AA294" s="121"/>
      <c r="AB294" s="121"/>
      <c r="AC294" s="121"/>
      <c r="AD294" s="121"/>
      <c r="AE294" s="121"/>
      <c r="AF294" s="121"/>
      <c r="AG294" s="121"/>
      <c r="AH294" s="121"/>
      <c r="AI294" s="121"/>
      <c r="AJ294" s="121"/>
      <c r="AK294" s="121"/>
      <c r="AL294" s="121"/>
      <c r="AM294" s="121"/>
      <c r="AN294" s="121"/>
      <c r="AO294" s="121"/>
      <c r="AP294" s="121"/>
      <c r="AQ294" s="121"/>
      <c r="AR294" s="121"/>
      <c r="AS294" s="121"/>
      <c r="AT294" s="121"/>
      <c r="AU294" s="121"/>
      <c r="AV294" s="121"/>
      <c r="AW294" s="121"/>
      <c r="AX294" s="121"/>
    </row>
    <row r="295" spans="2:50" x14ac:dyDescent="0.2">
      <c r="B295" s="3"/>
      <c r="C295" s="3"/>
      <c r="D295" s="118" t="s">
        <v>291</v>
      </c>
      <c r="E295" s="118"/>
      <c r="F295" s="118" t="s">
        <v>402</v>
      </c>
      <c r="G295" s="118">
        <f t="shared" si="22"/>
        <v>1.02</v>
      </c>
      <c r="H295" s="15"/>
      <c r="I295" s="15"/>
      <c r="J295" s="123"/>
      <c r="K295" s="123"/>
      <c r="L295" s="123"/>
      <c r="M295" s="124"/>
      <c r="N295" s="121"/>
      <c r="O295" s="122"/>
      <c r="P295" s="122"/>
      <c r="Q295" s="121"/>
      <c r="R295" s="121"/>
      <c r="S295" s="121"/>
      <c r="T295" s="121"/>
      <c r="U295" s="121"/>
      <c r="V295" s="121"/>
      <c r="W295" s="121"/>
      <c r="X295" s="121"/>
      <c r="Y295" s="121"/>
      <c r="Z295" s="121"/>
      <c r="AA295" s="121"/>
      <c r="AB295" s="121"/>
      <c r="AC295" s="121"/>
      <c r="AD295" s="121"/>
      <c r="AE295" s="121"/>
      <c r="AF295" s="121"/>
      <c r="AG295" s="121"/>
      <c r="AH295" s="121"/>
      <c r="AI295" s="121"/>
      <c r="AJ295" s="121"/>
      <c r="AK295" s="121"/>
      <c r="AL295" s="121"/>
      <c r="AM295" s="121"/>
      <c r="AN295" s="121"/>
      <c r="AO295" s="121"/>
      <c r="AP295" s="121"/>
      <c r="AQ295" s="121"/>
      <c r="AR295" s="121"/>
      <c r="AS295" s="121"/>
      <c r="AT295" s="121"/>
      <c r="AU295" s="121"/>
      <c r="AV295" s="121"/>
      <c r="AW295" s="121"/>
      <c r="AX295" s="121"/>
    </row>
    <row r="296" spans="2:50" x14ac:dyDescent="0.2">
      <c r="B296" s="3"/>
      <c r="C296" s="3"/>
      <c r="D296" s="118" t="s">
        <v>292</v>
      </c>
      <c r="E296" s="118"/>
      <c r="F296" s="118" t="s">
        <v>445</v>
      </c>
      <c r="G296" s="118">
        <f t="shared" si="22"/>
        <v>0.96</v>
      </c>
      <c r="H296" s="15"/>
      <c r="I296" s="15"/>
      <c r="J296" s="123"/>
      <c r="K296" s="123"/>
      <c r="L296" s="123"/>
      <c r="M296" s="124"/>
      <c r="N296" s="121"/>
      <c r="O296" s="122"/>
      <c r="P296" s="122"/>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121"/>
      <c r="AM296" s="121"/>
      <c r="AN296" s="121"/>
      <c r="AO296" s="121"/>
      <c r="AP296" s="121"/>
      <c r="AQ296" s="121"/>
      <c r="AR296" s="121"/>
      <c r="AS296" s="121"/>
      <c r="AT296" s="121"/>
      <c r="AU296" s="121"/>
      <c r="AV296" s="121"/>
      <c r="AW296" s="121"/>
      <c r="AX296" s="121"/>
    </row>
    <row r="297" spans="2:50" x14ac:dyDescent="0.2">
      <c r="B297" s="3"/>
      <c r="C297" s="3"/>
      <c r="D297" s="118" t="s">
        <v>293</v>
      </c>
      <c r="E297" s="118"/>
      <c r="F297" s="118" t="s">
        <v>447</v>
      </c>
      <c r="G297" s="118">
        <f t="shared" ref="G297:G360" si="23">LOOKUP(F297,$J$41:$J$121,$L$41:$L$121)</f>
        <v>0.97</v>
      </c>
      <c r="H297" s="15"/>
      <c r="I297" s="15"/>
      <c r="J297" s="123"/>
      <c r="K297" s="123"/>
      <c r="L297" s="123"/>
      <c r="M297" s="124"/>
      <c r="N297" s="121"/>
      <c r="O297" s="122"/>
      <c r="P297" s="122"/>
      <c r="Q297" s="121"/>
      <c r="R297" s="121"/>
      <c r="S297" s="121"/>
      <c r="T297" s="121"/>
      <c r="U297" s="121"/>
      <c r="V297" s="121"/>
      <c r="W297" s="121"/>
      <c r="X297" s="121"/>
      <c r="Y297" s="121"/>
      <c r="Z297" s="121"/>
      <c r="AA297" s="121"/>
      <c r="AB297" s="121"/>
      <c r="AC297" s="121"/>
      <c r="AD297" s="121"/>
      <c r="AE297" s="121"/>
      <c r="AF297" s="121"/>
      <c r="AG297" s="121"/>
      <c r="AH297" s="121"/>
      <c r="AI297" s="121"/>
      <c r="AJ297" s="121"/>
      <c r="AK297" s="121"/>
      <c r="AL297" s="121"/>
      <c r="AM297" s="121"/>
      <c r="AN297" s="121"/>
      <c r="AO297" s="121"/>
      <c r="AP297" s="121"/>
      <c r="AQ297" s="121"/>
      <c r="AR297" s="121"/>
      <c r="AS297" s="121"/>
      <c r="AT297" s="121"/>
      <c r="AU297" s="121"/>
      <c r="AV297" s="121"/>
      <c r="AW297" s="121"/>
      <c r="AX297" s="121"/>
    </row>
    <row r="298" spans="2:50" x14ac:dyDescent="0.2">
      <c r="B298" s="3"/>
      <c r="C298" s="3"/>
      <c r="D298" s="118" t="s">
        <v>294</v>
      </c>
      <c r="E298" s="118"/>
      <c r="F298" s="118" t="s">
        <v>450</v>
      </c>
      <c r="G298" s="118">
        <f t="shared" si="23"/>
        <v>0.96</v>
      </c>
      <c r="H298" s="15"/>
      <c r="I298" s="15"/>
      <c r="J298" s="123"/>
      <c r="K298" s="123"/>
      <c r="L298" s="123"/>
      <c r="M298" s="124"/>
      <c r="N298" s="121"/>
      <c r="O298" s="122"/>
      <c r="P298" s="122"/>
      <c r="Q298" s="121"/>
      <c r="R298" s="121"/>
      <c r="S298" s="121"/>
      <c r="T298" s="121"/>
      <c r="U298" s="121"/>
      <c r="V298" s="121"/>
      <c r="W298" s="121"/>
      <c r="X298" s="121"/>
      <c r="Y298" s="121"/>
      <c r="Z298" s="121"/>
      <c r="AA298" s="121"/>
      <c r="AB298" s="121"/>
      <c r="AC298" s="121"/>
      <c r="AD298" s="121"/>
      <c r="AE298" s="121"/>
      <c r="AF298" s="121"/>
      <c r="AG298" s="121"/>
      <c r="AH298" s="121"/>
      <c r="AI298" s="121"/>
      <c r="AJ298" s="121"/>
      <c r="AK298" s="121"/>
      <c r="AL298" s="121"/>
      <c r="AM298" s="121"/>
      <c r="AN298" s="121"/>
      <c r="AO298" s="121"/>
      <c r="AP298" s="121"/>
      <c r="AQ298" s="121"/>
      <c r="AR298" s="121"/>
      <c r="AS298" s="121"/>
      <c r="AT298" s="121"/>
      <c r="AU298" s="121"/>
      <c r="AV298" s="121"/>
      <c r="AW298" s="121"/>
      <c r="AX298" s="121"/>
    </row>
    <row r="299" spans="2:50" x14ac:dyDescent="0.2">
      <c r="B299" s="3"/>
      <c r="C299" s="3"/>
      <c r="D299" s="118" t="s">
        <v>295</v>
      </c>
      <c r="E299" s="118"/>
      <c r="F299" s="118" t="s">
        <v>397</v>
      </c>
      <c r="G299" s="118">
        <f t="shared" si="23"/>
        <v>1.1000000000000001</v>
      </c>
      <c r="H299" s="15"/>
      <c r="I299" s="15"/>
      <c r="J299" s="123"/>
      <c r="K299" s="123"/>
      <c r="L299" s="123"/>
      <c r="M299" s="124"/>
      <c r="N299" s="121"/>
      <c r="O299" s="122"/>
      <c r="P299" s="122"/>
      <c r="Q299" s="121"/>
      <c r="R299" s="121"/>
      <c r="S299" s="121"/>
      <c r="T299" s="121"/>
      <c r="U299" s="121"/>
      <c r="V299" s="121"/>
      <c r="W299" s="121"/>
      <c r="X299" s="121"/>
      <c r="Y299" s="121"/>
      <c r="Z299" s="121"/>
      <c r="AA299" s="121"/>
      <c r="AB299" s="121"/>
      <c r="AC299" s="121"/>
      <c r="AD299" s="121"/>
      <c r="AE299" s="121"/>
      <c r="AF299" s="121"/>
      <c r="AG299" s="121"/>
      <c r="AH299" s="121"/>
      <c r="AI299" s="121"/>
      <c r="AJ299" s="121"/>
      <c r="AK299" s="121"/>
      <c r="AL299" s="121"/>
      <c r="AM299" s="121"/>
      <c r="AN299" s="121"/>
      <c r="AO299" s="121"/>
      <c r="AP299" s="121"/>
      <c r="AQ299" s="121"/>
      <c r="AR299" s="121"/>
      <c r="AS299" s="121"/>
      <c r="AT299" s="121"/>
      <c r="AU299" s="121"/>
      <c r="AV299" s="121"/>
      <c r="AW299" s="121"/>
      <c r="AX299" s="121"/>
    </row>
    <row r="300" spans="2:50" x14ac:dyDescent="0.2">
      <c r="B300" s="3"/>
      <c r="C300" s="3"/>
      <c r="D300" s="118" t="s">
        <v>296</v>
      </c>
      <c r="E300" s="118"/>
      <c r="F300" s="118" t="s">
        <v>394</v>
      </c>
      <c r="G300" s="118">
        <f t="shared" si="23"/>
        <v>1.04</v>
      </c>
      <c r="H300" s="15"/>
      <c r="I300" s="15"/>
      <c r="J300" s="123"/>
      <c r="K300" s="123"/>
      <c r="L300" s="123"/>
      <c r="M300" s="124"/>
      <c r="N300" s="121"/>
      <c r="O300" s="122"/>
      <c r="P300" s="122"/>
      <c r="Q300" s="121"/>
      <c r="R300" s="121"/>
      <c r="S300" s="121"/>
      <c r="T300" s="121"/>
      <c r="U300" s="121"/>
      <c r="V300" s="121"/>
      <c r="W300" s="121"/>
      <c r="X300" s="121"/>
      <c r="Y300" s="121"/>
      <c r="Z300" s="121"/>
      <c r="AA300" s="121"/>
      <c r="AB300" s="121"/>
      <c r="AC300" s="121"/>
      <c r="AD300" s="121"/>
      <c r="AE300" s="121"/>
      <c r="AF300" s="121"/>
      <c r="AG300" s="121"/>
      <c r="AH300" s="121"/>
      <c r="AI300" s="121"/>
      <c r="AJ300" s="121"/>
      <c r="AK300" s="121"/>
      <c r="AL300" s="121"/>
      <c r="AM300" s="121"/>
      <c r="AN300" s="121"/>
      <c r="AO300" s="121"/>
      <c r="AP300" s="121"/>
      <c r="AQ300" s="121"/>
      <c r="AR300" s="121"/>
      <c r="AS300" s="121"/>
      <c r="AT300" s="121"/>
      <c r="AU300" s="121"/>
      <c r="AV300" s="121"/>
      <c r="AW300" s="121"/>
      <c r="AX300" s="121"/>
    </row>
    <row r="301" spans="2:50" x14ac:dyDescent="0.2">
      <c r="B301" s="3"/>
      <c r="C301" s="3"/>
      <c r="D301" s="118" t="s">
        <v>297</v>
      </c>
      <c r="E301" s="118"/>
      <c r="F301" s="118" t="s">
        <v>429</v>
      </c>
      <c r="G301" s="118">
        <f t="shared" si="23"/>
        <v>1.25</v>
      </c>
      <c r="H301" s="15"/>
      <c r="I301" s="15"/>
      <c r="J301" s="123"/>
      <c r="K301" s="123"/>
      <c r="L301" s="123"/>
      <c r="M301" s="124"/>
      <c r="N301" s="121"/>
      <c r="O301" s="122"/>
      <c r="P301" s="122"/>
      <c r="Q301" s="121"/>
      <c r="R301" s="121"/>
      <c r="S301" s="121"/>
      <c r="T301" s="121"/>
      <c r="U301" s="121"/>
      <c r="V301" s="121"/>
      <c r="W301" s="121"/>
      <c r="X301" s="121"/>
      <c r="Y301" s="121"/>
      <c r="Z301" s="121"/>
      <c r="AA301" s="121"/>
      <c r="AB301" s="121"/>
      <c r="AC301" s="121"/>
      <c r="AD301" s="121"/>
      <c r="AE301" s="121"/>
      <c r="AF301" s="121"/>
      <c r="AG301" s="121"/>
      <c r="AH301" s="121"/>
      <c r="AI301" s="121"/>
      <c r="AJ301" s="121"/>
      <c r="AK301" s="121"/>
      <c r="AL301" s="121"/>
      <c r="AM301" s="121"/>
      <c r="AN301" s="121"/>
      <c r="AO301" s="121"/>
      <c r="AP301" s="121"/>
      <c r="AQ301" s="121"/>
      <c r="AR301" s="121"/>
      <c r="AS301" s="121"/>
      <c r="AT301" s="121"/>
      <c r="AU301" s="121"/>
      <c r="AV301" s="121"/>
      <c r="AW301" s="121"/>
      <c r="AX301" s="121"/>
    </row>
    <row r="302" spans="2:50" x14ac:dyDescent="0.2">
      <c r="B302" s="3"/>
      <c r="C302" s="3"/>
      <c r="D302" s="118" t="s">
        <v>298</v>
      </c>
      <c r="E302" s="118"/>
      <c r="F302" s="118" t="s">
        <v>449</v>
      </c>
      <c r="G302" s="118">
        <f t="shared" si="23"/>
        <v>1.19</v>
      </c>
      <c r="H302" s="15"/>
      <c r="I302" s="15"/>
      <c r="J302" s="123"/>
      <c r="K302" s="123"/>
      <c r="L302" s="123"/>
      <c r="M302" s="124"/>
      <c r="N302" s="121"/>
      <c r="O302" s="122"/>
      <c r="P302" s="122"/>
      <c r="Q302" s="121"/>
      <c r="R302" s="121"/>
      <c r="S302" s="121"/>
      <c r="T302" s="121"/>
      <c r="U302" s="121"/>
      <c r="V302" s="121"/>
      <c r="W302" s="121"/>
      <c r="X302" s="121"/>
      <c r="Y302" s="121"/>
      <c r="Z302" s="121"/>
      <c r="AA302" s="121"/>
      <c r="AB302" s="121"/>
      <c r="AC302" s="121"/>
      <c r="AD302" s="121"/>
      <c r="AE302" s="121"/>
      <c r="AF302" s="121"/>
      <c r="AG302" s="121"/>
      <c r="AH302" s="121"/>
      <c r="AI302" s="121"/>
      <c r="AJ302" s="121"/>
      <c r="AK302" s="121"/>
      <c r="AL302" s="121"/>
      <c r="AM302" s="121"/>
      <c r="AN302" s="121"/>
      <c r="AO302" s="121"/>
      <c r="AP302" s="121"/>
      <c r="AQ302" s="121"/>
      <c r="AR302" s="121"/>
      <c r="AS302" s="121"/>
      <c r="AT302" s="121"/>
      <c r="AU302" s="121"/>
      <c r="AV302" s="121"/>
      <c r="AW302" s="121"/>
      <c r="AX302" s="121"/>
    </row>
    <row r="303" spans="2:50" x14ac:dyDescent="0.2">
      <c r="B303" s="3"/>
      <c r="C303" s="3"/>
      <c r="D303" s="118" t="s">
        <v>299</v>
      </c>
      <c r="E303" s="118"/>
      <c r="F303" s="118" t="s">
        <v>399</v>
      </c>
      <c r="G303" s="118">
        <f t="shared" si="23"/>
        <v>1.07</v>
      </c>
      <c r="H303" s="15"/>
      <c r="I303" s="15"/>
      <c r="J303" s="123"/>
      <c r="K303" s="123"/>
      <c r="L303" s="123"/>
      <c r="M303" s="124"/>
      <c r="N303" s="121"/>
      <c r="O303" s="122"/>
      <c r="P303" s="122"/>
      <c r="Q303" s="121"/>
      <c r="R303" s="121"/>
      <c r="S303" s="121"/>
      <c r="T303" s="121"/>
      <c r="U303" s="121"/>
      <c r="V303" s="121"/>
      <c r="W303" s="121"/>
      <c r="X303" s="121"/>
      <c r="Y303" s="121"/>
      <c r="Z303" s="121"/>
      <c r="AA303" s="121"/>
      <c r="AB303" s="121"/>
      <c r="AC303" s="121"/>
      <c r="AD303" s="121"/>
      <c r="AE303" s="121"/>
      <c r="AF303" s="121"/>
      <c r="AG303" s="121"/>
      <c r="AH303" s="121"/>
      <c r="AI303" s="121"/>
      <c r="AJ303" s="121"/>
      <c r="AK303" s="121"/>
      <c r="AL303" s="121"/>
      <c r="AM303" s="121"/>
      <c r="AN303" s="121"/>
      <c r="AO303" s="121"/>
      <c r="AP303" s="121"/>
      <c r="AQ303" s="121"/>
      <c r="AR303" s="121"/>
      <c r="AS303" s="121"/>
      <c r="AT303" s="121"/>
      <c r="AU303" s="121"/>
      <c r="AV303" s="121"/>
      <c r="AW303" s="121"/>
      <c r="AX303" s="121"/>
    </row>
    <row r="304" spans="2:50" x14ac:dyDescent="0.2">
      <c r="B304" s="3"/>
      <c r="C304" s="3"/>
      <c r="D304" s="118" t="s">
        <v>300</v>
      </c>
      <c r="E304" s="118"/>
      <c r="F304" s="118" t="s">
        <v>448</v>
      </c>
      <c r="G304" s="118">
        <f t="shared" si="23"/>
        <v>0.98</v>
      </c>
      <c r="H304" s="15"/>
      <c r="I304" s="15"/>
      <c r="J304" s="123"/>
      <c r="K304" s="123"/>
      <c r="L304" s="123"/>
      <c r="M304" s="124"/>
      <c r="N304" s="121"/>
      <c r="O304" s="122"/>
      <c r="P304" s="122"/>
      <c r="Q304" s="121"/>
      <c r="R304" s="121"/>
      <c r="S304" s="121"/>
      <c r="T304" s="121"/>
      <c r="U304" s="121"/>
      <c r="V304" s="121"/>
      <c r="W304" s="121"/>
      <c r="X304" s="121"/>
      <c r="Y304" s="121"/>
      <c r="Z304" s="121"/>
      <c r="AA304" s="121"/>
      <c r="AB304" s="121"/>
      <c r="AC304" s="121"/>
      <c r="AD304" s="121"/>
      <c r="AE304" s="121"/>
      <c r="AF304" s="121"/>
      <c r="AG304" s="121"/>
      <c r="AH304" s="121"/>
      <c r="AI304" s="121"/>
      <c r="AJ304" s="121"/>
      <c r="AK304" s="121"/>
      <c r="AL304" s="121"/>
      <c r="AM304" s="121"/>
      <c r="AN304" s="121"/>
      <c r="AO304" s="121"/>
      <c r="AP304" s="121"/>
      <c r="AQ304" s="121"/>
      <c r="AR304" s="121"/>
      <c r="AS304" s="121"/>
      <c r="AT304" s="121"/>
      <c r="AU304" s="121"/>
      <c r="AV304" s="121"/>
      <c r="AW304" s="121"/>
      <c r="AX304" s="121"/>
    </row>
    <row r="305" spans="2:50" x14ac:dyDescent="0.2">
      <c r="B305" s="3"/>
      <c r="C305" s="3"/>
      <c r="D305" s="118" t="s">
        <v>301</v>
      </c>
      <c r="E305" s="118"/>
      <c r="F305" s="118" t="s">
        <v>436</v>
      </c>
      <c r="G305" s="118">
        <f t="shared" si="23"/>
        <v>1.02</v>
      </c>
      <c r="H305" s="15"/>
      <c r="I305" s="15"/>
      <c r="J305" s="123"/>
      <c r="K305" s="123"/>
      <c r="L305" s="123"/>
      <c r="M305" s="124"/>
      <c r="N305" s="121"/>
      <c r="O305" s="122"/>
      <c r="P305" s="122"/>
      <c r="Q305" s="121"/>
      <c r="R305" s="121"/>
      <c r="S305" s="121"/>
      <c r="T305" s="121"/>
      <c r="U305" s="121"/>
      <c r="V305" s="121"/>
      <c r="W305" s="121"/>
      <c r="X305" s="121"/>
      <c r="Y305" s="121"/>
      <c r="Z305" s="121"/>
      <c r="AA305" s="121"/>
      <c r="AB305" s="121"/>
      <c r="AC305" s="121"/>
      <c r="AD305" s="121"/>
      <c r="AE305" s="121"/>
      <c r="AF305" s="121"/>
      <c r="AG305" s="121"/>
      <c r="AH305" s="121"/>
      <c r="AI305" s="121"/>
      <c r="AJ305" s="121"/>
      <c r="AK305" s="121"/>
      <c r="AL305" s="121"/>
      <c r="AM305" s="121"/>
      <c r="AN305" s="121"/>
      <c r="AO305" s="121"/>
      <c r="AP305" s="121"/>
      <c r="AQ305" s="121"/>
      <c r="AR305" s="121"/>
      <c r="AS305" s="121"/>
      <c r="AT305" s="121"/>
      <c r="AU305" s="121"/>
      <c r="AV305" s="121"/>
      <c r="AW305" s="121"/>
      <c r="AX305" s="121"/>
    </row>
    <row r="306" spans="2:50" x14ac:dyDescent="0.2">
      <c r="B306" s="3"/>
      <c r="C306" s="3"/>
      <c r="D306" s="118" t="s">
        <v>302</v>
      </c>
      <c r="E306" s="118"/>
      <c r="F306" s="118" t="s">
        <v>447</v>
      </c>
      <c r="G306" s="118">
        <f t="shared" si="23"/>
        <v>0.97</v>
      </c>
      <c r="H306" s="15"/>
      <c r="I306" s="15"/>
      <c r="J306" s="123"/>
      <c r="K306" s="123"/>
      <c r="L306" s="123"/>
      <c r="M306" s="124"/>
      <c r="N306" s="121"/>
      <c r="O306" s="122"/>
      <c r="P306" s="122"/>
      <c r="Q306" s="121"/>
      <c r="R306" s="121"/>
      <c r="S306" s="121"/>
      <c r="T306" s="121"/>
      <c r="U306" s="121"/>
      <c r="V306" s="121"/>
      <c r="W306" s="121"/>
      <c r="X306" s="121"/>
      <c r="Y306" s="121"/>
      <c r="Z306" s="121"/>
      <c r="AA306" s="121"/>
      <c r="AB306" s="121"/>
      <c r="AC306" s="121"/>
      <c r="AD306" s="121"/>
      <c r="AE306" s="121"/>
      <c r="AF306" s="121"/>
      <c r="AG306" s="121"/>
      <c r="AH306" s="121"/>
      <c r="AI306" s="121"/>
      <c r="AJ306" s="121"/>
      <c r="AK306" s="121"/>
      <c r="AL306" s="121"/>
      <c r="AM306" s="121"/>
      <c r="AN306" s="121"/>
      <c r="AO306" s="121"/>
      <c r="AP306" s="121"/>
      <c r="AQ306" s="121"/>
      <c r="AR306" s="121"/>
      <c r="AS306" s="121"/>
      <c r="AT306" s="121"/>
      <c r="AU306" s="121"/>
      <c r="AV306" s="121"/>
      <c r="AW306" s="121"/>
      <c r="AX306" s="121"/>
    </row>
    <row r="307" spans="2:50" x14ac:dyDescent="0.2">
      <c r="B307" s="3"/>
      <c r="C307" s="3"/>
      <c r="D307" s="118" t="s">
        <v>303</v>
      </c>
      <c r="E307" s="118"/>
      <c r="F307" s="118" t="s">
        <v>447</v>
      </c>
      <c r="G307" s="118">
        <f t="shared" si="23"/>
        <v>0.97</v>
      </c>
      <c r="H307" s="15"/>
      <c r="I307" s="15"/>
      <c r="J307" s="123"/>
      <c r="K307" s="123"/>
      <c r="L307" s="123"/>
      <c r="M307" s="124"/>
      <c r="N307" s="121"/>
      <c r="O307" s="122"/>
      <c r="P307" s="122"/>
      <c r="Q307" s="121"/>
      <c r="R307" s="121"/>
      <c r="S307" s="121"/>
      <c r="T307" s="121"/>
      <c r="U307" s="121"/>
      <c r="V307" s="121"/>
      <c r="W307" s="121"/>
      <c r="X307" s="121"/>
      <c r="Y307" s="121"/>
      <c r="Z307" s="121"/>
      <c r="AA307" s="121"/>
      <c r="AB307" s="121"/>
      <c r="AC307" s="121"/>
      <c r="AD307" s="121"/>
      <c r="AE307" s="121"/>
      <c r="AF307" s="121"/>
      <c r="AG307" s="121"/>
      <c r="AH307" s="121"/>
      <c r="AI307" s="121"/>
      <c r="AJ307" s="121"/>
      <c r="AK307" s="121"/>
      <c r="AL307" s="121"/>
      <c r="AM307" s="121"/>
      <c r="AN307" s="121"/>
      <c r="AO307" s="121"/>
      <c r="AP307" s="121"/>
      <c r="AQ307" s="121"/>
      <c r="AR307" s="121"/>
      <c r="AS307" s="121"/>
      <c r="AT307" s="121"/>
      <c r="AU307" s="121"/>
      <c r="AV307" s="121"/>
      <c r="AW307" s="121"/>
      <c r="AX307" s="121"/>
    </row>
    <row r="308" spans="2:50" x14ac:dyDescent="0.2">
      <c r="B308" s="3"/>
      <c r="C308" s="3"/>
      <c r="D308" s="118" t="s">
        <v>304</v>
      </c>
      <c r="E308" s="118"/>
      <c r="F308" s="118" t="s">
        <v>399</v>
      </c>
      <c r="G308" s="118">
        <f t="shared" si="23"/>
        <v>1.07</v>
      </c>
      <c r="H308" s="15"/>
      <c r="I308" s="15"/>
      <c r="J308" s="123"/>
      <c r="K308" s="123"/>
      <c r="L308" s="123"/>
      <c r="M308" s="124"/>
      <c r="N308" s="121"/>
      <c r="O308" s="122"/>
      <c r="P308" s="122"/>
      <c r="Q308" s="121"/>
      <c r="R308" s="121"/>
      <c r="S308" s="121"/>
      <c r="T308" s="121"/>
      <c r="U308" s="121"/>
      <c r="V308" s="121"/>
      <c r="W308" s="121"/>
      <c r="X308" s="121"/>
      <c r="Y308" s="121"/>
      <c r="Z308" s="121"/>
      <c r="AA308" s="121"/>
      <c r="AB308" s="121"/>
      <c r="AC308" s="121"/>
      <c r="AD308" s="121"/>
      <c r="AE308" s="121"/>
      <c r="AF308" s="121"/>
      <c r="AG308" s="121"/>
      <c r="AH308" s="121"/>
      <c r="AI308" s="121"/>
      <c r="AJ308" s="121"/>
      <c r="AK308" s="121"/>
      <c r="AL308" s="121"/>
      <c r="AM308" s="121"/>
      <c r="AN308" s="121"/>
      <c r="AO308" s="121"/>
      <c r="AP308" s="121"/>
      <c r="AQ308" s="121"/>
      <c r="AR308" s="121"/>
      <c r="AS308" s="121"/>
      <c r="AT308" s="121"/>
      <c r="AU308" s="121"/>
      <c r="AV308" s="121"/>
      <c r="AW308" s="121"/>
      <c r="AX308" s="121"/>
    </row>
    <row r="309" spans="2:50" x14ac:dyDescent="0.2">
      <c r="B309" s="3"/>
      <c r="C309" s="3"/>
      <c r="D309" s="118" t="s">
        <v>305</v>
      </c>
      <c r="E309" s="118"/>
      <c r="F309" s="118" t="s">
        <v>396</v>
      </c>
      <c r="G309" s="118">
        <f t="shared" si="23"/>
        <v>1.02</v>
      </c>
      <c r="H309" s="15"/>
      <c r="I309" s="15"/>
      <c r="J309" s="123"/>
      <c r="K309" s="123"/>
      <c r="L309" s="123"/>
      <c r="M309" s="124"/>
      <c r="N309" s="121"/>
      <c r="O309" s="122"/>
      <c r="P309" s="122"/>
      <c r="Q309" s="121"/>
      <c r="R309" s="121"/>
      <c r="S309" s="121"/>
      <c r="T309" s="121"/>
      <c r="U309" s="121"/>
      <c r="V309" s="121"/>
      <c r="W309" s="121"/>
      <c r="X309" s="121"/>
      <c r="Y309" s="121"/>
      <c r="Z309" s="121"/>
      <c r="AA309" s="121"/>
      <c r="AB309" s="121"/>
      <c r="AC309" s="121"/>
      <c r="AD309" s="121"/>
      <c r="AE309" s="121"/>
      <c r="AF309" s="121"/>
      <c r="AG309" s="121"/>
      <c r="AH309" s="121"/>
      <c r="AI309" s="121"/>
      <c r="AJ309" s="121"/>
      <c r="AK309" s="121"/>
      <c r="AL309" s="121"/>
      <c r="AM309" s="121"/>
      <c r="AN309" s="121"/>
      <c r="AO309" s="121"/>
      <c r="AP309" s="121"/>
      <c r="AQ309" s="121"/>
      <c r="AR309" s="121"/>
      <c r="AS309" s="121"/>
      <c r="AT309" s="121"/>
      <c r="AU309" s="121"/>
      <c r="AV309" s="121"/>
      <c r="AW309" s="121"/>
      <c r="AX309" s="121"/>
    </row>
    <row r="310" spans="2:50" x14ac:dyDescent="0.2">
      <c r="B310" s="3"/>
      <c r="C310" s="3"/>
      <c r="D310" s="118" t="s">
        <v>306</v>
      </c>
      <c r="E310" s="118"/>
      <c r="F310" s="118" t="s">
        <v>439</v>
      </c>
      <c r="G310" s="118">
        <f t="shared" si="23"/>
        <v>0.94</v>
      </c>
      <c r="H310" s="15"/>
      <c r="I310" s="15"/>
      <c r="J310" s="123"/>
      <c r="K310" s="123"/>
      <c r="L310" s="123"/>
      <c r="M310" s="124"/>
      <c r="N310" s="121"/>
      <c r="O310" s="122"/>
      <c r="P310" s="122"/>
      <c r="Q310" s="121"/>
      <c r="R310" s="121"/>
      <c r="S310" s="121"/>
      <c r="T310" s="121"/>
      <c r="U310" s="121"/>
      <c r="V310" s="121"/>
      <c r="W310" s="121"/>
      <c r="X310" s="121"/>
      <c r="Y310" s="121"/>
      <c r="Z310" s="121"/>
      <c r="AA310" s="121"/>
      <c r="AB310" s="121"/>
      <c r="AC310" s="121"/>
      <c r="AD310" s="121"/>
      <c r="AE310" s="121"/>
      <c r="AF310" s="121"/>
      <c r="AG310" s="121"/>
      <c r="AH310" s="121"/>
      <c r="AI310" s="121"/>
      <c r="AJ310" s="121"/>
      <c r="AK310" s="121"/>
      <c r="AL310" s="121"/>
      <c r="AM310" s="121"/>
      <c r="AN310" s="121"/>
      <c r="AO310" s="121"/>
      <c r="AP310" s="121"/>
      <c r="AQ310" s="121"/>
      <c r="AR310" s="121"/>
      <c r="AS310" s="121"/>
      <c r="AT310" s="121"/>
      <c r="AU310" s="121"/>
      <c r="AV310" s="121"/>
      <c r="AW310" s="121"/>
      <c r="AX310" s="121"/>
    </row>
    <row r="311" spans="2:50" x14ac:dyDescent="0.2">
      <c r="B311" s="3"/>
      <c r="C311" s="3"/>
      <c r="D311" s="118" t="s">
        <v>307</v>
      </c>
      <c r="E311" s="118"/>
      <c r="F311" s="118" t="s">
        <v>447</v>
      </c>
      <c r="G311" s="118">
        <f t="shared" si="23"/>
        <v>0.97</v>
      </c>
      <c r="H311" s="15"/>
      <c r="I311" s="15"/>
      <c r="J311" s="123"/>
      <c r="K311" s="123"/>
      <c r="L311" s="123"/>
      <c r="M311" s="124"/>
      <c r="N311" s="121"/>
      <c r="O311" s="122"/>
      <c r="P311" s="122"/>
      <c r="Q311" s="121"/>
      <c r="R311" s="121"/>
      <c r="S311" s="121"/>
      <c r="T311" s="121"/>
      <c r="U311" s="121"/>
      <c r="V311" s="121"/>
      <c r="W311" s="121"/>
      <c r="X311" s="121"/>
      <c r="Y311" s="121"/>
      <c r="Z311" s="121"/>
      <c r="AA311" s="121"/>
      <c r="AB311" s="121"/>
      <c r="AC311" s="121"/>
      <c r="AD311" s="121"/>
      <c r="AE311" s="121"/>
      <c r="AF311" s="121"/>
      <c r="AG311" s="121"/>
      <c r="AH311" s="121"/>
      <c r="AI311" s="121"/>
      <c r="AJ311" s="121"/>
      <c r="AK311" s="121"/>
      <c r="AL311" s="121"/>
      <c r="AM311" s="121"/>
      <c r="AN311" s="121"/>
      <c r="AO311" s="121"/>
      <c r="AP311" s="121"/>
      <c r="AQ311" s="121"/>
      <c r="AR311" s="121"/>
      <c r="AS311" s="121"/>
      <c r="AT311" s="121"/>
      <c r="AU311" s="121"/>
      <c r="AV311" s="121"/>
      <c r="AW311" s="121"/>
      <c r="AX311" s="121"/>
    </row>
    <row r="312" spans="2:50" x14ac:dyDescent="0.2">
      <c r="B312" s="3"/>
      <c r="C312" s="3"/>
      <c r="D312" s="118" t="s">
        <v>308</v>
      </c>
      <c r="E312" s="118"/>
      <c r="F312" s="118" t="s">
        <v>452</v>
      </c>
      <c r="G312" s="118">
        <f t="shared" si="23"/>
        <v>1.01</v>
      </c>
      <c r="H312" s="15"/>
      <c r="I312" s="15"/>
      <c r="J312" s="123"/>
      <c r="K312" s="123"/>
      <c r="L312" s="123"/>
      <c r="M312" s="124"/>
      <c r="N312" s="121"/>
      <c r="O312" s="122"/>
      <c r="P312" s="122"/>
      <c r="Q312" s="121"/>
      <c r="R312" s="121"/>
      <c r="S312" s="121"/>
      <c r="T312" s="121"/>
      <c r="U312" s="121"/>
      <c r="V312" s="121"/>
      <c r="W312" s="121"/>
      <c r="X312" s="121"/>
      <c r="Y312" s="121"/>
      <c r="Z312" s="121"/>
      <c r="AA312" s="121"/>
      <c r="AB312" s="121"/>
      <c r="AC312" s="121"/>
      <c r="AD312" s="121"/>
      <c r="AE312" s="121"/>
      <c r="AF312" s="121"/>
      <c r="AG312" s="121"/>
      <c r="AH312" s="121"/>
      <c r="AI312" s="121"/>
      <c r="AJ312" s="121"/>
      <c r="AK312" s="121"/>
      <c r="AL312" s="121"/>
      <c r="AM312" s="121"/>
      <c r="AN312" s="121"/>
      <c r="AO312" s="121"/>
      <c r="AP312" s="121"/>
      <c r="AQ312" s="121"/>
      <c r="AR312" s="121"/>
      <c r="AS312" s="121"/>
      <c r="AT312" s="121"/>
      <c r="AU312" s="121"/>
      <c r="AV312" s="121"/>
      <c r="AW312" s="121"/>
      <c r="AX312" s="121"/>
    </row>
    <row r="313" spans="2:50" x14ac:dyDescent="0.2">
      <c r="B313" s="3"/>
      <c r="C313" s="3"/>
      <c r="D313" s="118" t="s">
        <v>309</v>
      </c>
      <c r="E313" s="118"/>
      <c r="F313" s="118" t="s">
        <v>395</v>
      </c>
      <c r="G313" s="118">
        <f t="shared" si="23"/>
        <v>0.9</v>
      </c>
      <c r="H313" s="15"/>
      <c r="I313" s="15"/>
      <c r="J313" s="123"/>
      <c r="K313" s="123"/>
      <c r="L313" s="123"/>
      <c r="M313" s="124"/>
      <c r="N313" s="121"/>
      <c r="O313" s="122"/>
      <c r="P313" s="122"/>
      <c r="Q313" s="121"/>
      <c r="R313" s="121"/>
      <c r="S313" s="121"/>
      <c r="T313" s="121"/>
      <c r="U313" s="121"/>
      <c r="V313" s="121"/>
      <c r="W313" s="121"/>
      <c r="X313" s="121"/>
      <c r="Y313" s="121"/>
      <c r="Z313" s="121"/>
      <c r="AA313" s="121"/>
      <c r="AB313" s="121"/>
      <c r="AC313" s="121"/>
      <c r="AD313" s="121"/>
      <c r="AE313" s="121"/>
      <c r="AF313" s="121"/>
      <c r="AG313" s="121"/>
      <c r="AH313" s="121"/>
      <c r="AI313" s="121"/>
      <c r="AJ313" s="121"/>
      <c r="AK313" s="121"/>
      <c r="AL313" s="121"/>
      <c r="AM313" s="121"/>
      <c r="AN313" s="121"/>
      <c r="AO313" s="121"/>
      <c r="AP313" s="121"/>
      <c r="AQ313" s="121"/>
      <c r="AR313" s="121"/>
      <c r="AS313" s="121"/>
      <c r="AT313" s="121"/>
      <c r="AU313" s="121"/>
      <c r="AV313" s="121"/>
      <c r="AW313" s="121"/>
      <c r="AX313" s="121"/>
    </row>
    <row r="314" spans="2:50" x14ac:dyDescent="0.2">
      <c r="B314" s="3"/>
      <c r="C314" s="3"/>
      <c r="D314" s="118" t="s">
        <v>310</v>
      </c>
      <c r="E314" s="118"/>
      <c r="F314" s="118" t="s">
        <v>448</v>
      </c>
      <c r="G314" s="118">
        <f t="shared" si="23"/>
        <v>0.98</v>
      </c>
      <c r="H314" s="15"/>
      <c r="I314" s="15"/>
      <c r="J314" s="123"/>
      <c r="K314" s="123"/>
      <c r="L314" s="123"/>
      <c r="M314" s="124"/>
      <c r="N314" s="121"/>
      <c r="O314" s="122"/>
      <c r="P314" s="122"/>
      <c r="Q314" s="121"/>
      <c r="R314" s="121"/>
      <c r="S314" s="121"/>
      <c r="T314" s="121"/>
      <c r="U314" s="121"/>
      <c r="V314" s="121"/>
      <c r="W314" s="121"/>
      <c r="X314" s="121"/>
      <c r="Y314" s="121"/>
      <c r="Z314" s="121"/>
      <c r="AA314" s="121"/>
      <c r="AB314" s="121"/>
      <c r="AC314" s="121"/>
      <c r="AD314" s="121"/>
      <c r="AE314" s="121"/>
      <c r="AF314" s="121"/>
      <c r="AG314" s="121"/>
      <c r="AH314" s="121"/>
      <c r="AI314" s="121"/>
      <c r="AJ314" s="121"/>
      <c r="AK314" s="121"/>
      <c r="AL314" s="121"/>
      <c r="AM314" s="121"/>
      <c r="AN314" s="121"/>
      <c r="AO314" s="121"/>
      <c r="AP314" s="121"/>
      <c r="AQ314" s="121"/>
      <c r="AR314" s="121"/>
      <c r="AS314" s="121"/>
      <c r="AT314" s="121"/>
      <c r="AU314" s="121"/>
      <c r="AV314" s="121"/>
      <c r="AW314" s="121"/>
      <c r="AX314" s="121"/>
    </row>
    <row r="315" spans="2:50" x14ac:dyDescent="0.2">
      <c r="B315" s="3"/>
      <c r="C315" s="3"/>
      <c r="D315" s="118" t="s">
        <v>311</v>
      </c>
      <c r="E315" s="118"/>
      <c r="F315" s="118" t="s">
        <v>450</v>
      </c>
      <c r="G315" s="118">
        <f t="shared" si="23"/>
        <v>0.96</v>
      </c>
      <c r="H315" s="15"/>
      <c r="I315" s="15"/>
      <c r="J315" s="123"/>
      <c r="K315" s="123"/>
      <c r="L315" s="123"/>
      <c r="M315" s="124"/>
      <c r="N315" s="121"/>
      <c r="O315" s="122"/>
      <c r="P315" s="122"/>
      <c r="Q315" s="121"/>
      <c r="R315" s="121"/>
      <c r="S315" s="121"/>
      <c r="T315" s="121"/>
      <c r="U315" s="121"/>
      <c r="V315" s="121"/>
      <c r="W315" s="121"/>
      <c r="X315" s="121"/>
      <c r="Y315" s="121"/>
      <c r="Z315" s="121"/>
      <c r="AA315" s="121"/>
      <c r="AB315" s="121"/>
      <c r="AC315" s="121"/>
      <c r="AD315" s="121"/>
      <c r="AE315" s="121"/>
      <c r="AF315" s="121"/>
      <c r="AG315" s="121"/>
      <c r="AH315" s="121"/>
      <c r="AI315" s="121"/>
      <c r="AJ315" s="121"/>
      <c r="AK315" s="121"/>
      <c r="AL315" s="121"/>
      <c r="AM315" s="121"/>
      <c r="AN315" s="121"/>
      <c r="AO315" s="121"/>
      <c r="AP315" s="121"/>
      <c r="AQ315" s="121"/>
      <c r="AR315" s="121"/>
      <c r="AS315" s="121"/>
      <c r="AT315" s="121"/>
      <c r="AU315" s="121"/>
      <c r="AV315" s="121"/>
      <c r="AW315" s="121"/>
      <c r="AX315" s="121"/>
    </row>
    <row r="316" spans="2:50" x14ac:dyDescent="0.2">
      <c r="B316" s="3"/>
      <c r="C316" s="3"/>
      <c r="D316" s="118" t="s">
        <v>312</v>
      </c>
      <c r="E316" s="118"/>
      <c r="F316" s="118" t="s">
        <v>449</v>
      </c>
      <c r="G316" s="118">
        <f t="shared" si="23"/>
        <v>1.19</v>
      </c>
      <c r="H316" s="15"/>
      <c r="I316" s="15"/>
      <c r="J316" s="123"/>
      <c r="K316" s="123"/>
      <c r="L316" s="123"/>
      <c r="M316" s="124"/>
      <c r="N316" s="121"/>
      <c r="O316" s="122"/>
      <c r="P316" s="122"/>
      <c r="Q316" s="121"/>
      <c r="R316" s="121"/>
      <c r="S316" s="121"/>
      <c r="T316" s="121"/>
      <c r="U316" s="121"/>
      <c r="V316" s="121"/>
      <c r="W316" s="121"/>
      <c r="X316" s="121"/>
      <c r="Y316" s="121"/>
      <c r="Z316" s="121"/>
      <c r="AA316" s="121"/>
      <c r="AB316" s="121"/>
      <c r="AC316" s="121"/>
      <c r="AD316" s="121"/>
      <c r="AE316" s="121"/>
      <c r="AF316" s="121"/>
      <c r="AG316" s="121"/>
      <c r="AH316" s="121"/>
      <c r="AI316" s="121"/>
      <c r="AJ316" s="121"/>
      <c r="AK316" s="121"/>
      <c r="AL316" s="121"/>
      <c r="AM316" s="121"/>
      <c r="AN316" s="121"/>
      <c r="AO316" s="121"/>
      <c r="AP316" s="121"/>
      <c r="AQ316" s="121"/>
      <c r="AR316" s="121"/>
      <c r="AS316" s="121"/>
      <c r="AT316" s="121"/>
      <c r="AU316" s="121"/>
      <c r="AV316" s="121"/>
      <c r="AW316" s="121"/>
      <c r="AX316" s="121"/>
    </row>
    <row r="317" spans="2:50" x14ac:dyDescent="0.2">
      <c r="B317" s="3"/>
      <c r="C317" s="3"/>
      <c r="D317" s="118" t="s">
        <v>313</v>
      </c>
      <c r="E317" s="118"/>
      <c r="F317" s="118" t="s">
        <v>430</v>
      </c>
      <c r="G317" s="118">
        <f t="shared" si="23"/>
        <v>1.1599999999999999</v>
      </c>
      <c r="H317" s="15"/>
      <c r="I317" s="15"/>
      <c r="J317" s="123"/>
      <c r="K317" s="123"/>
      <c r="L317" s="123"/>
      <c r="M317" s="124"/>
      <c r="N317" s="121"/>
      <c r="O317" s="122"/>
      <c r="P317" s="122"/>
      <c r="Q317" s="121"/>
      <c r="R317" s="121"/>
      <c r="S317" s="121"/>
      <c r="T317" s="121"/>
      <c r="U317" s="121"/>
      <c r="V317" s="121"/>
      <c r="W317" s="121"/>
      <c r="X317" s="121"/>
      <c r="Y317" s="121"/>
      <c r="Z317" s="121"/>
      <c r="AA317" s="121"/>
      <c r="AB317" s="121"/>
      <c r="AC317" s="121"/>
      <c r="AD317" s="121"/>
      <c r="AE317" s="121"/>
      <c r="AF317" s="121"/>
      <c r="AG317" s="121"/>
      <c r="AH317" s="121"/>
      <c r="AI317" s="121"/>
      <c r="AJ317" s="121"/>
      <c r="AK317" s="121"/>
      <c r="AL317" s="121"/>
      <c r="AM317" s="121"/>
      <c r="AN317" s="121"/>
      <c r="AO317" s="121"/>
      <c r="AP317" s="121"/>
      <c r="AQ317" s="121"/>
      <c r="AR317" s="121"/>
      <c r="AS317" s="121"/>
      <c r="AT317" s="121"/>
      <c r="AU317" s="121"/>
      <c r="AV317" s="121"/>
      <c r="AW317" s="121"/>
      <c r="AX317" s="121"/>
    </row>
    <row r="318" spans="2:50" x14ac:dyDescent="0.2">
      <c r="B318" s="3"/>
      <c r="C318" s="3"/>
      <c r="D318" s="118" t="s">
        <v>314</v>
      </c>
      <c r="E318" s="118"/>
      <c r="F318" s="118" t="s">
        <v>401</v>
      </c>
      <c r="G318" s="118">
        <f t="shared" si="23"/>
        <v>1.1399999999999999</v>
      </c>
      <c r="H318" s="15"/>
      <c r="I318" s="15"/>
      <c r="J318" s="123"/>
      <c r="K318" s="123"/>
      <c r="L318" s="123"/>
      <c r="M318" s="124"/>
      <c r="N318" s="121"/>
      <c r="O318" s="122"/>
      <c r="P318" s="122"/>
      <c r="Q318" s="121"/>
      <c r="R318" s="121"/>
      <c r="S318" s="121"/>
      <c r="T318" s="121"/>
      <c r="U318" s="121"/>
      <c r="V318" s="121"/>
      <c r="W318" s="121"/>
      <c r="X318" s="121"/>
      <c r="Y318" s="121"/>
      <c r="Z318" s="121"/>
      <c r="AA318" s="121"/>
      <c r="AB318" s="121"/>
      <c r="AC318" s="121"/>
      <c r="AD318" s="121"/>
      <c r="AE318" s="121"/>
      <c r="AF318" s="121"/>
      <c r="AG318" s="121"/>
      <c r="AH318" s="121"/>
      <c r="AI318" s="121"/>
      <c r="AJ318" s="121"/>
      <c r="AK318" s="121"/>
      <c r="AL318" s="121"/>
      <c r="AM318" s="121"/>
      <c r="AN318" s="121"/>
      <c r="AO318" s="121"/>
      <c r="AP318" s="121"/>
      <c r="AQ318" s="121"/>
      <c r="AR318" s="121"/>
      <c r="AS318" s="121"/>
      <c r="AT318" s="121"/>
      <c r="AU318" s="121"/>
      <c r="AV318" s="121"/>
      <c r="AW318" s="121"/>
      <c r="AX318" s="121"/>
    </row>
    <row r="319" spans="2:50" x14ac:dyDescent="0.2">
      <c r="B319" s="3"/>
      <c r="C319" s="3"/>
      <c r="D319" s="118" t="s">
        <v>315</v>
      </c>
      <c r="E319" s="118"/>
      <c r="F319" s="118" t="s">
        <v>357</v>
      </c>
      <c r="G319" s="118">
        <f t="shared" si="23"/>
        <v>0.98</v>
      </c>
      <c r="H319" s="15"/>
      <c r="I319" s="15"/>
      <c r="J319" s="123"/>
      <c r="K319" s="123"/>
      <c r="L319" s="123"/>
      <c r="M319" s="124"/>
      <c r="N319" s="121"/>
      <c r="O319" s="122"/>
      <c r="P319" s="122"/>
      <c r="Q319" s="121"/>
      <c r="R319" s="121"/>
      <c r="S319" s="121"/>
      <c r="T319" s="121"/>
      <c r="U319" s="121"/>
      <c r="V319" s="121"/>
      <c r="W319" s="121"/>
      <c r="X319" s="121"/>
      <c r="Y319" s="121"/>
      <c r="Z319" s="121"/>
      <c r="AA319" s="121"/>
      <c r="AB319" s="121"/>
      <c r="AC319" s="121"/>
      <c r="AD319" s="121"/>
      <c r="AE319" s="121"/>
      <c r="AF319" s="121"/>
      <c r="AG319" s="121"/>
      <c r="AH319" s="121"/>
      <c r="AI319" s="121"/>
      <c r="AJ319" s="121"/>
      <c r="AK319" s="121"/>
      <c r="AL319" s="121"/>
      <c r="AM319" s="121"/>
      <c r="AN319" s="121"/>
      <c r="AO319" s="121"/>
      <c r="AP319" s="121"/>
      <c r="AQ319" s="121"/>
      <c r="AR319" s="121"/>
      <c r="AS319" s="121"/>
      <c r="AT319" s="121"/>
      <c r="AU319" s="121"/>
      <c r="AV319" s="121"/>
      <c r="AW319" s="121"/>
      <c r="AX319" s="121"/>
    </row>
    <row r="320" spans="2:50" x14ac:dyDescent="0.2">
      <c r="B320" s="3"/>
      <c r="C320" s="3"/>
      <c r="D320" s="118" t="s">
        <v>316</v>
      </c>
      <c r="E320" s="118"/>
      <c r="F320" s="118" t="s">
        <v>396</v>
      </c>
      <c r="G320" s="118">
        <f t="shared" si="23"/>
        <v>1.02</v>
      </c>
      <c r="H320" s="15"/>
      <c r="I320" s="15"/>
      <c r="J320" s="123"/>
      <c r="K320" s="123"/>
      <c r="L320" s="123"/>
      <c r="M320" s="124"/>
      <c r="N320" s="121"/>
      <c r="O320" s="122"/>
      <c r="P320" s="122"/>
      <c r="Q320" s="121"/>
      <c r="R320" s="121"/>
      <c r="S320" s="121"/>
      <c r="T320" s="121"/>
      <c r="U320" s="121"/>
      <c r="V320" s="121"/>
      <c r="W320" s="121"/>
      <c r="X320" s="121"/>
      <c r="Y320" s="121"/>
      <c r="Z320" s="121"/>
      <c r="AA320" s="121"/>
      <c r="AB320" s="121"/>
      <c r="AC320" s="121"/>
      <c r="AD320" s="121"/>
      <c r="AE320" s="121"/>
      <c r="AF320" s="121"/>
      <c r="AG320" s="121"/>
      <c r="AH320" s="121"/>
      <c r="AI320" s="121"/>
      <c r="AJ320" s="121"/>
      <c r="AK320" s="121"/>
      <c r="AL320" s="121"/>
      <c r="AM320" s="121"/>
      <c r="AN320" s="121"/>
      <c r="AO320" s="121"/>
      <c r="AP320" s="121"/>
      <c r="AQ320" s="121"/>
      <c r="AR320" s="121"/>
      <c r="AS320" s="121"/>
      <c r="AT320" s="121"/>
      <c r="AU320" s="121"/>
      <c r="AV320" s="121"/>
      <c r="AW320" s="121"/>
      <c r="AX320" s="121"/>
    </row>
    <row r="321" spans="2:50" x14ac:dyDescent="0.2">
      <c r="B321" s="3"/>
      <c r="C321" s="3"/>
      <c r="D321" s="118" t="s">
        <v>317</v>
      </c>
      <c r="E321" s="118"/>
      <c r="F321" s="118" t="s">
        <v>447</v>
      </c>
      <c r="G321" s="118">
        <f t="shared" si="23"/>
        <v>0.97</v>
      </c>
      <c r="H321" s="15"/>
      <c r="I321" s="15"/>
      <c r="J321" s="123"/>
      <c r="K321" s="123"/>
      <c r="L321" s="123"/>
      <c r="M321" s="124"/>
      <c r="N321" s="121"/>
      <c r="O321" s="122"/>
      <c r="P321" s="122"/>
      <c r="Q321" s="121"/>
      <c r="R321" s="121"/>
      <c r="S321" s="121"/>
      <c r="T321" s="121"/>
      <c r="U321" s="121"/>
      <c r="V321" s="121"/>
      <c r="W321" s="121"/>
      <c r="X321" s="121"/>
      <c r="Y321" s="121"/>
      <c r="Z321" s="121"/>
      <c r="AA321" s="121"/>
      <c r="AB321" s="121"/>
      <c r="AC321" s="121"/>
      <c r="AD321" s="121"/>
      <c r="AE321" s="121"/>
      <c r="AF321" s="121"/>
      <c r="AG321" s="121"/>
      <c r="AH321" s="121"/>
      <c r="AI321" s="121"/>
      <c r="AJ321" s="121"/>
      <c r="AK321" s="121"/>
      <c r="AL321" s="121"/>
      <c r="AM321" s="121"/>
      <c r="AN321" s="121"/>
      <c r="AO321" s="121"/>
      <c r="AP321" s="121"/>
      <c r="AQ321" s="121"/>
      <c r="AR321" s="121"/>
      <c r="AS321" s="121"/>
      <c r="AT321" s="121"/>
      <c r="AU321" s="121"/>
      <c r="AV321" s="121"/>
      <c r="AW321" s="121"/>
      <c r="AX321" s="121"/>
    </row>
    <row r="322" spans="2:50" x14ac:dyDescent="0.2">
      <c r="B322" s="3"/>
      <c r="C322" s="3"/>
      <c r="D322" s="118" t="s">
        <v>318</v>
      </c>
      <c r="E322" s="118"/>
      <c r="F322" s="118" t="s">
        <v>449</v>
      </c>
      <c r="G322" s="118">
        <f t="shared" si="23"/>
        <v>1.19</v>
      </c>
      <c r="H322" s="15"/>
      <c r="I322" s="15"/>
      <c r="J322" s="123"/>
      <c r="K322" s="123"/>
      <c r="L322" s="123"/>
      <c r="M322" s="124"/>
      <c r="N322" s="121"/>
      <c r="O322" s="122"/>
      <c r="P322" s="122"/>
      <c r="Q322" s="121"/>
      <c r="R322" s="121"/>
      <c r="S322" s="121"/>
      <c r="T322" s="121"/>
      <c r="U322" s="121"/>
      <c r="V322" s="121"/>
      <c r="W322" s="121"/>
      <c r="X322" s="121"/>
      <c r="Y322" s="121"/>
      <c r="Z322" s="121"/>
      <c r="AA322" s="121"/>
      <c r="AB322" s="121"/>
      <c r="AC322" s="121"/>
      <c r="AD322" s="121"/>
      <c r="AE322" s="121"/>
      <c r="AF322" s="121"/>
      <c r="AG322" s="121"/>
      <c r="AH322" s="121"/>
      <c r="AI322" s="121"/>
      <c r="AJ322" s="121"/>
      <c r="AK322" s="121"/>
      <c r="AL322" s="121"/>
      <c r="AM322" s="121"/>
      <c r="AN322" s="121"/>
      <c r="AO322" s="121"/>
      <c r="AP322" s="121"/>
      <c r="AQ322" s="121"/>
      <c r="AR322" s="121"/>
      <c r="AS322" s="121"/>
      <c r="AT322" s="121"/>
      <c r="AU322" s="121"/>
      <c r="AV322" s="121"/>
      <c r="AW322" s="121"/>
      <c r="AX322" s="121"/>
    </row>
    <row r="323" spans="2:50" x14ac:dyDescent="0.2">
      <c r="B323" s="3"/>
      <c r="C323" s="3"/>
      <c r="D323" s="118" t="s">
        <v>319</v>
      </c>
      <c r="E323" s="118"/>
      <c r="F323" s="118" t="s">
        <v>445</v>
      </c>
      <c r="G323" s="118">
        <f t="shared" si="23"/>
        <v>0.96</v>
      </c>
      <c r="H323" s="15"/>
      <c r="I323" s="15"/>
      <c r="J323" s="123"/>
      <c r="K323" s="123"/>
      <c r="L323" s="123"/>
      <c r="M323" s="124"/>
      <c r="N323" s="121"/>
      <c r="O323" s="122"/>
      <c r="P323" s="122"/>
      <c r="Q323" s="121"/>
      <c r="R323" s="121"/>
      <c r="S323" s="121"/>
      <c r="T323" s="121"/>
      <c r="U323" s="121"/>
      <c r="V323" s="121"/>
      <c r="W323" s="121"/>
      <c r="X323" s="121"/>
      <c r="Y323" s="121"/>
      <c r="Z323" s="121"/>
      <c r="AA323" s="121"/>
      <c r="AB323" s="121"/>
      <c r="AC323" s="121"/>
      <c r="AD323" s="121"/>
      <c r="AE323" s="121"/>
      <c r="AF323" s="121"/>
      <c r="AG323" s="121"/>
      <c r="AH323" s="121"/>
      <c r="AI323" s="121"/>
      <c r="AJ323" s="121"/>
      <c r="AK323" s="121"/>
      <c r="AL323" s="121"/>
      <c r="AM323" s="121"/>
      <c r="AN323" s="121"/>
      <c r="AO323" s="121"/>
      <c r="AP323" s="121"/>
      <c r="AQ323" s="121"/>
      <c r="AR323" s="121"/>
      <c r="AS323" s="121"/>
      <c r="AT323" s="121"/>
      <c r="AU323" s="121"/>
      <c r="AV323" s="121"/>
      <c r="AW323" s="121"/>
      <c r="AX323" s="121"/>
    </row>
    <row r="324" spans="2:50" x14ac:dyDescent="0.2">
      <c r="B324" s="3"/>
      <c r="C324" s="3"/>
      <c r="D324" s="118" t="s">
        <v>320</v>
      </c>
      <c r="E324" s="118"/>
      <c r="F324" s="118" t="s">
        <v>389</v>
      </c>
      <c r="G324" s="118">
        <f t="shared" si="23"/>
        <v>0.97</v>
      </c>
      <c r="H324" s="15"/>
      <c r="I324" s="15"/>
      <c r="J324" s="123"/>
      <c r="K324" s="123"/>
      <c r="L324" s="123"/>
      <c r="M324" s="124"/>
      <c r="N324" s="121"/>
      <c r="O324" s="122"/>
      <c r="P324" s="122"/>
      <c r="Q324" s="121"/>
      <c r="R324" s="121"/>
      <c r="S324" s="121"/>
      <c r="T324" s="121"/>
      <c r="U324" s="121"/>
      <c r="V324" s="121"/>
      <c r="W324" s="121"/>
      <c r="X324" s="121"/>
      <c r="Y324" s="121"/>
      <c r="Z324" s="121"/>
      <c r="AA324" s="121"/>
      <c r="AB324" s="121"/>
      <c r="AC324" s="121"/>
      <c r="AD324" s="121"/>
      <c r="AE324" s="121"/>
      <c r="AF324" s="121"/>
      <c r="AG324" s="121"/>
      <c r="AH324" s="121"/>
      <c r="AI324" s="121"/>
      <c r="AJ324" s="121"/>
      <c r="AK324" s="121"/>
      <c r="AL324" s="121"/>
      <c r="AM324" s="121"/>
      <c r="AN324" s="121"/>
      <c r="AO324" s="121"/>
      <c r="AP324" s="121"/>
      <c r="AQ324" s="121"/>
      <c r="AR324" s="121"/>
      <c r="AS324" s="121"/>
      <c r="AT324" s="121"/>
      <c r="AU324" s="121"/>
      <c r="AV324" s="121"/>
      <c r="AW324" s="121"/>
      <c r="AX324" s="121"/>
    </row>
    <row r="325" spans="2:50" x14ac:dyDescent="0.2">
      <c r="B325" s="3"/>
      <c r="C325" s="3"/>
      <c r="D325" s="118" t="s">
        <v>321</v>
      </c>
      <c r="E325" s="118"/>
      <c r="F325" s="118" t="s">
        <v>276</v>
      </c>
      <c r="G325" s="118">
        <f t="shared" si="23"/>
        <v>0.98</v>
      </c>
      <c r="H325" s="15"/>
      <c r="I325" s="15"/>
      <c r="J325" s="123"/>
      <c r="K325" s="123"/>
      <c r="L325" s="123"/>
      <c r="M325" s="124"/>
      <c r="N325" s="121"/>
      <c r="O325" s="122"/>
      <c r="P325" s="122"/>
      <c r="Q325" s="121"/>
      <c r="R325" s="121"/>
      <c r="S325" s="121"/>
      <c r="T325" s="121"/>
      <c r="U325" s="121"/>
      <c r="V325" s="121"/>
      <c r="W325" s="121"/>
      <c r="X325" s="121"/>
      <c r="Y325" s="121"/>
      <c r="Z325" s="121"/>
      <c r="AA325" s="121"/>
      <c r="AB325" s="121"/>
      <c r="AC325" s="121"/>
      <c r="AD325" s="121"/>
      <c r="AE325" s="121"/>
      <c r="AF325" s="121"/>
      <c r="AG325" s="121"/>
      <c r="AH325" s="121"/>
      <c r="AI325" s="121"/>
      <c r="AJ325" s="121"/>
      <c r="AK325" s="121"/>
      <c r="AL325" s="121"/>
      <c r="AM325" s="121"/>
      <c r="AN325" s="121"/>
      <c r="AO325" s="121"/>
      <c r="AP325" s="121"/>
      <c r="AQ325" s="121"/>
      <c r="AR325" s="121"/>
      <c r="AS325" s="121"/>
      <c r="AT325" s="121"/>
      <c r="AU325" s="121"/>
      <c r="AV325" s="121"/>
      <c r="AW325" s="121"/>
      <c r="AX325" s="121"/>
    </row>
    <row r="326" spans="2:50" x14ac:dyDescent="0.2">
      <c r="B326" s="3"/>
      <c r="C326" s="3"/>
      <c r="D326" s="118" t="s">
        <v>322</v>
      </c>
      <c r="E326" s="118"/>
      <c r="F326" s="118" t="s">
        <v>394</v>
      </c>
      <c r="G326" s="118">
        <f t="shared" si="23"/>
        <v>1.04</v>
      </c>
      <c r="H326" s="15"/>
      <c r="I326" s="15"/>
      <c r="J326" s="123"/>
      <c r="K326" s="123"/>
      <c r="L326" s="123"/>
      <c r="M326" s="124"/>
      <c r="N326" s="121"/>
      <c r="O326" s="122"/>
      <c r="P326" s="122"/>
      <c r="Q326" s="121"/>
      <c r="R326" s="121"/>
      <c r="S326" s="121"/>
      <c r="T326" s="121"/>
      <c r="U326" s="121"/>
      <c r="V326" s="121"/>
      <c r="W326" s="121"/>
      <c r="X326" s="121"/>
      <c r="Y326" s="121"/>
      <c r="Z326" s="121"/>
      <c r="AA326" s="121"/>
      <c r="AB326" s="121"/>
      <c r="AC326" s="121"/>
      <c r="AD326" s="121"/>
      <c r="AE326" s="121"/>
      <c r="AF326" s="121"/>
      <c r="AG326" s="121"/>
      <c r="AH326" s="121"/>
      <c r="AI326" s="121"/>
      <c r="AJ326" s="121"/>
      <c r="AK326" s="121"/>
      <c r="AL326" s="121"/>
      <c r="AM326" s="121"/>
      <c r="AN326" s="121"/>
      <c r="AO326" s="121"/>
      <c r="AP326" s="121"/>
      <c r="AQ326" s="121"/>
      <c r="AR326" s="121"/>
      <c r="AS326" s="121"/>
      <c r="AT326" s="121"/>
      <c r="AU326" s="121"/>
      <c r="AV326" s="121"/>
      <c r="AW326" s="121"/>
      <c r="AX326" s="121"/>
    </row>
    <row r="327" spans="2:50" x14ac:dyDescent="0.2">
      <c r="B327" s="3"/>
      <c r="C327" s="3"/>
      <c r="D327" s="118" t="s">
        <v>323</v>
      </c>
      <c r="E327" s="118"/>
      <c r="F327" s="118" t="s">
        <v>397</v>
      </c>
      <c r="G327" s="118">
        <f t="shared" si="23"/>
        <v>1.1000000000000001</v>
      </c>
      <c r="H327" s="15"/>
      <c r="I327" s="15"/>
      <c r="J327" s="123"/>
      <c r="K327" s="123"/>
      <c r="L327" s="123"/>
      <c r="M327" s="124"/>
      <c r="N327" s="121"/>
      <c r="O327" s="122"/>
      <c r="P327" s="122"/>
      <c r="Q327" s="121"/>
      <c r="R327" s="121"/>
      <c r="S327" s="121"/>
      <c r="T327" s="121"/>
      <c r="U327" s="121"/>
      <c r="V327" s="121"/>
      <c r="W327" s="121"/>
      <c r="X327" s="121"/>
      <c r="Y327" s="121"/>
      <c r="Z327" s="121"/>
      <c r="AA327" s="121"/>
      <c r="AB327" s="121"/>
      <c r="AC327" s="121"/>
      <c r="AD327" s="121"/>
      <c r="AE327" s="121"/>
      <c r="AF327" s="121"/>
      <c r="AG327" s="121"/>
      <c r="AH327" s="121"/>
      <c r="AI327" s="121"/>
      <c r="AJ327" s="121"/>
      <c r="AK327" s="121"/>
      <c r="AL327" s="121"/>
      <c r="AM327" s="121"/>
      <c r="AN327" s="121"/>
      <c r="AO327" s="121"/>
      <c r="AP327" s="121"/>
      <c r="AQ327" s="121"/>
      <c r="AR327" s="121"/>
      <c r="AS327" s="121"/>
      <c r="AT327" s="121"/>
      <c r="AU327" s="121"/>
      <c r="AV327" s="121"/>
      <c r="AW327" s="121"/>
      <c r="AX327" s="121"/>
    </row>
    <row r="328" spans="2:50" x14ac:dyDescent="0.2">
      <c r="B328" s="3"/>
      <c r="C328" s="3"/>
      <c r="D328" s="118" t="s">
        <v>324</v>
      </c>
      <c r="E328" s="118"/>
      <c r="F328" s="118" t="s">
        <v>395</v>
      </c>
      <c r="G328" s="118">
        <f t="shared" si="23"/>
        <v>0.9</v>
      </c>
      <c r="H328" s="15"/>
      <c r="I328" s="15"/>
      <c r="J328" s="123"/>
      <c r="K328" s="123"/>
      <c r="L328" s="123"/>
      <c r="M328" s="124"/>
      <c r="N328" s="121"/>
      <c r="O328" s="122"/>
      <c r="P328" s="122"/>
      <c r="Q328" s="121"/>
      <c r="R328" s="121"/>
      <c r="S328" s="121"/>
      <c r="T328" s="121"/>
      <c r="U328" s="121"/>
      <c r="V328" s="121"/>
      <c r="W328" s="121"/>
      <c r="X328" s="121"/>
      <c r="Y328" s="121"/>
      <c r="Z328" s="121"/>
      <c r="AA328" s="121"/>
      <c r="AB328" s="121"/>
      <c r="AC328" s="121"/>
      <c r="AD328" s="121"/>
      <c r="AE328" s="121"/>
      <c r="AF328" s="121"/>
      <c r="AG328" s="121"/>
      <c r="AH328" s="121"/>
      <c r="AI328" s="121"/>
      <c r="AJ328" s="121"/>
      <c r="AK328" s="121"/>
      <c r="AL328" s="121"/>
      <c r="AM328" s="121"/>
      <c r="AN328" s="121"/>
      <c r="AO328" s="121"/>
      <c r="AP328" s="121"/>
      <c r="AQ328" s="121"/>
      <c r="AR328" s="121"/>
      <c r="AS328" s="121"/>
      <c r="AT328" s="121"/>
      <c r="AU328" s="121"/>
      <c r="AV328" s="121"/>
      <c r="AW328" s="121"/>
      <c r="AX328" s="121"/>
    </row>
    <row r="329" spans="2:50" x14ac:dyDescent="0.2">
      <c r="B329" s="3"/>
      <c r="C329" s="3"/>
      <c r="D329" s="118" t="s">
        <v>325</v>
      </c>
      <c r="E329" s="118"/>
      <c r="F329" s="118" t="s">
        <v>401</v>
      </c>
      <c r="G329" s="118">
        <f t="shared" si="23"/>
        <v>1.1399999999999999</v>
      </c>
      <c r="H329" s="15"/>
      <c r="I329" s="15"/>
      <c r="J329" s="123"/>
      <c r="K329" s="123"/>
      <c r="L329" s="123"/>
      <c r="M329" s="124"/>
      <c r="N329" s="121"/>
      <c r="O329" s="122"/>
      <c r="P329" s="122"/>
      <c r="Q329" s="121"/>
      <c r="R329" s="121"/>
      <c r="S329" s="121"/>
      <c r="T329" s="121"/>
      <c r="U329" s="121"/>
      <c r="V329" s="121"/>
      <c r="W329" s="121"/>
      <c r="X329" s="121"/>
      <c r="Y329" s="121"/>
      <c r="Z329" s="121"/>
      <c r="AA329" s="121"/>
      <c r="AB329" s="121"/>
      <c r="AC329" s="121"/>
      <c r="AD329" s="121"/>
      <c r="AE329" s="121"/>
      <c r="AF329" s="121"/>
      <c r="AG329" s="121"/>
      <c r="AH329" s="121"/>
      <c r="AI329" s="121"/>
      <c r="AJ329" s="121"/>
      <c r="AK329" s="121"/>
      <c r="AL329" s="121"/>
      <c r="AM329" s="121"/>
      <c r="AN329" s="121"/>
      <c r="AO329" s="121"/>
      <c r="AP329" s="121"/>
      <c r="AQ329" s="121"/>
      <c r="AR329" s="121"/>
      <c r="AS329" s="121"/>
      <c r="AT329" s="121"/>
      <c r="AU329" s="121"/>
      <c r="AV329" s="121"/>
      <c r="AW329" s="121"/>
      <c r="AX329" s="121"/>
    </row>
    <row r="330" spans="2:50" x14ac:dyDescent="0.2">
      <c r="B330" s="3"/>
      <c r="C330" s="3"/>
      <c r="D330" s="118" t="s">
        <v>326</v>
      </c>
      <c r="E330" s="118"/>
      <c r="F330" s="118" t="s">
        <v>399</v>
      </c>
      <c r="G330" s="118">
        <f t="shared" si="23"/>
        <v>1.07</v>
      </c>
      <c r="H330" s="15"/>
      <c r="I330" s="15"/>
      <c r="J330" s="123"/>
      <c r="K330" s="123"/>
      <c r="L330" s="123"/>
      <c r="M330" s="124"/>
      <c r="N330" s="121"/>
      <c r="O330" s="122"/>
      <c r="P330" s="122"/>
      <c r="Q330" s="121"/>
      <c r="R330" s="121"/>
      <c r="S330" s="121"/>
      <c r="T330" s="121"/>
      <c r="U330" s="121"/>
      <c r="V330" s="121"/>
      <c r="W330" s="121"/>
      <c r="X330" s="121"/>
      <c r="Y330" s="121"/>
      <c r="Z330" s="121"/>
      <c r="AA330" s="121"/>
      <c r="AB330" s="121"/>
      <c r="AC330" s="121"/>
      <c r="AD330" s="121"/>
      <c r="AE330" s="121"/>
      <c r="AF330" s="121"/>
      <c r="AG330" s="121"/>
      <c r="AH330" s="121"/>
      <c r="AI330" s="121"/>
      <c r="AJ330" s="121"/>
      <c r="AK330" s="121"/>
      <c r="AL330" s="121"/>
      <c r="AM330" s="121"/>
      <c r="AN330" s="121"/>
      <c r="AO330" s="121"/>
      <c r="AP330" s="121"/>
      <c r="AQ330" s="121"/>
      <c r="AR330" s="121"/>
      <c r="AS330" s="121"/>
      <c r="AT330" s="121"/>
      <c r="AU330" s="121"/>
      <c r="AV330" s="121"/>
      <c r="AW330" s="121"/>
      <c r="AX330" s="121"/>
    </row>
    <row r="331" spans="2:50" x14ac:dyDescent="0.2">
      <c r="B331" s="3"/>
      <c r="C331" s="3"/>
      <c r="D331" s="118" t="s">
        <v>327</v>
      </c>
      <c r="E331" s="118"/>
      <c r="F331" s="118" t="s">
        <v>394</v>
      </c>
      <c r="G331" s="118">
        <f t="shared" si="23"/>
        <v>1.04</v>
      </c>
      <c r="H331" s="15"/>
      <c r="I331" s="15"/>
      <c r="J331" s="123"/>
      <c r="K331" s="123"/>
      <c r="L331" s="123"/>
      <c r="M331" s="124"/>
      <c r="N331" s="121"/>
      <c r="O331" s="122"/>
      <c r="P331" s="122"/>
      <c r="Q331" s="121"/>
      <c r="R331" s="121"/>
      <c r="S331" s="121"/>
      <c r="T331" s="121"/>
      <c r="U331" s="121"/>
      <c r="V331" s="121"/>
      <c r="W331" s="121"/>
      <c r="X331" s="121"/>
      <c r="Y331" s="121"/>
      <c r="Z331" s="121"/>
      <c r="AA331" s="121"/>
      <c r="AB331" s="121"/>
      <c r="AC331" s="121"/>
      <c r="AD331" s="121"/>
      <c r="AE331" s="121"/>
      <c r="AF331" s="121"/>
      <c r="AG331" s="121"/>
      <c r="AH331" s="121"/>
      <c r="AI331" s="121"/>
      <c r="AJ331" s="121"/>
      <c r="AK331" s="121"/>
      <c r="AL331" s="121"/>
      <c r="AM331" s="121"/>
      <c r="AN331" s="121"/>
      <c r="AO331" s="121"/>
      <c r="AP331" s="121"/>
      <c r="AQ331" s="121"/>
      <c r="AR331" s="121"/>
      <c r="AS331" s="121"/>
      <c r="AT331" s="121"/>
      <c r="AU331" s="121"/>
      <c r="AV331" s="121"/>
      <c r="AW331" s="121"/>
      <c r="AX331" s="121"/>
    </row>
    <row r="332" spans="2:50" x14ac:dyDescent="0.2">
      <c r="B332" s="3"/>
      <c r="C332" s="3"/>
      <c r="D332" s="118" t="s">
        <v>328</v>
      </c>
      <c r="E332" s="118"/>
      <c r="F332" s="118" t="s">
        <v>401</v>
      </c>
      <c r="G332" s="118">
        <f t="shared" si="23"/>
        <v>1.1399999999999999</v>
      </c>
      <c r="H332" s="15"/>
      <c r="I332" s="15"/>
      <c r="J332" s="123"/>
      <c r="K332" s="123"/>
      <c r="L332" s="123"/>
      <c r="M332" s="124"/>
      <c r="N332" s="121"/>
      <c r="O332" s="122"/>
      <c r="P332" s="122"/>
      <c r="Q332" s="121"/>
      <c r="R332" s="121"/>
      <c r="S332" s="121"/>
      <c r="T332" s="121"/>
      <c r="U332" s="121"/>
      <c r="V332" s="121"/>
      <c r="W332" s="121"/>
      <c r="X332" s="121"/>
      <c r="Y332" s="121"/>
      <c r="Z332" s="121"/>
      <c r="AA332" s="121"/>
      <c r="AB332" s="121"/>
      <c r="AC332" s="121"/>
      <c r="AD332" s="121"/>
      <c r="AE332" s="121"/>
      <c r="AF332" s="121"/>
      <c r="AG332" s="121"/>
      <c r="AH332" s="121"/>
      <c r="AI332" s="121"/>
      <c r="AJ332" s="121"/>
      <c r="AK332" s="121"/>
      <c r="AL332" s="121"/>
      <c r="AM332" s="121"/>
      <c r="AN332" s="121"/>
      <c r="AO332" s="121"/>
      <c r="AP332" s="121"/>
      <c r="AQ332" s="121"/>
      <c r="AR332" s="121"/>
      <c r="AS332" s="121"/>
      <c r="AT332" s="121"/>
      <c r="AU332" s="121"/>
      <c r="AV332" s="121"/>
      <c r="AW332" s="121"/>
      <c r="AX332" s="121"/>
    </row>
    <row r="333" spans="2:50" x14ac:dyDescent="0.2">
      <c r="B333" s="3"/>
      <c r="C333" s="3"/>
      <c r="D333" s="118" t="s">
        <v>329</v>
      </c>
      <c r="E333" s="118"/>
      <c r="F333" s="118" t="s">
        <v>389</v>
      </c>
      <c r="G333" s="118">
        <f t="shared" si="23"/>
        <v>0.97</v>
      </c>
      <c r="H333" s="15"/>
      <c r="I333" s="15"/>
      <c r="J333" s="123"/>
      <c r="K333" s="123"/>
      <c r="L333" s="123"/>
      <c r="M333" s="124"/>
      <c r="N333" s="121"/>
      <c r="O333" s="122"/>
      <c r="P333" s="122"/>
      <c r="Q333" s="121"/>
      <c r="R333" s="121"/>
      <c r="S333" s="121"/>
      <c r="T333" s="121"/>
      <c r="U333" s="121"/>
      <c r="V333" s="121"/>
      <c r="W333" s="121"/>
      <c r="X333" s="121"/>
      <c r="Y333" s="121"/>
      <c r="Z333" s="121"/>
      <c r="AA333" s="121"/>
      <c r="AB333" s="121"/>
      <c r="AC333" s="121"/>
      <c r="AD333" s="121"/>
      <c r="AE333" s="121"/>
      <c r="AF333" s="121"/>
      <c r="AG333" s="121"/>
      <c r="AH333" s="121"/>
      <c r="AI333" s="121"/>
      <c r="AJ333" s="121"/>
      <c r="AK333" s="121"/>
      <c r="AL333" s="121"/>
      <c r="AM333" s="121"/>
      <c r="AN333" s="121"/>
      <c r="AO333" s="121"/>
      <c r="AP333" s="121"/>
      <c r="AQ333" s="121"/>
      <c r="AR333" s="121"/>
      <c r="AS333" s="121"/>
      <c r="AT333" s="121"/>
      <c r="AU333" s="121"/>
      <c r="AV333" s="121"/>
      <c r="AW333" s="121"/>
      <c r="AX333" s="121"/>
    </row>
    <row r="334" spans="2:50" x14ac:dyDescent="0.2">
      <c r="B334" s="3"/>
      <c r="C334" s="3"/>
      <c r="D334" s="118" t="s">
        <v>330</v>
      </c>
      <c r="E334" s="118"/>
      <c r="F334" s="118" t="s">
        <v>389</v>
      </c>
      <c r="G334" s="118">
        <f t="shared" si="23"/>
        <v>0.97</v>
      </c>
      <c r="H334" s="15"/>
      <c r="I334" s="15"/>
      <c r="J334" s="123"/>
      <c r="K334" s="123"/>
      <c r="L334" s="123"/>
      <c r="M334" s="124"/>
      <c r="N334" s="121"/>
      <c r="O334" s="122"/>
      <c r="P334" s="122"/>
      <c r="Q334" s="121"/>
      <c r="R334" s="121"/>
      <c r="S334" s="121"/>
      <c r="T334" s="121"/>
      <c r="U334" s="121"/>
      <c r="V334" s="121"/>
      <c r="W334" s="121"/>
      <c r="X334" s="121"/>
      <c r="Y334" s="121"/>
      <c r="Z334" s="121"/>
      <c r="AA334" s="121"/>
      <c r="AB334" s="121"/>
      <c r="AC334" s="121"/>
      <c r="AD334" s="121"/>
      <c r="AE334" s="121"/>
      <c r="AF334" s="121"/>
      <c r="AG334" s="121"/>
      <c r="AH334" s="121"/>
      <c r="AI334" s="121"/>
      <c r="AJ334" s="121"/>
      <c r="AK334" s="121"/>
      <c r="AL334" s="121"/>
      <c r="AM334" s="121"/>
      <c r="AN334" s="121"/>
      <c r="AO334" s="121"/>
      <c r="AP334" s="121"/>
      <c r="AQ334" s="121"/>
      <c r="AR334" s="121"/>
      <c r="AS334" s="121"/>
      <c r="AT334" s="121"/>
      <c r="AU334" s="121"/>
      <c r="AV334" s="121"/>
      <c r="AW334" s="121"/>
      <c r="AX334" s="121"/>
    </row>
    <row r="335" spans="2:50" x14ac:dyDescent="0.2">
      <c r="B335" s="3"/>
      <c r="C335" s="3"/>
      <c r="D335" s="118" t="s">
        <v>331</v>
      </c>
      <c r="E335" s="118"/>
      <c r="F335" s="118" t="s">
        <v>431</v>
      </c>
      <c r="G335" s="118">
        <f t="shared" si="23"/>
        <v>1.23</v>
      </c>
      <c r="H335" s="15"/>
      <c r="I335" s="15"/>
      <c r="J335" s="123"/>
      <c r="K335" s="123"/>
      <c r="L335" s="123"/>
      <c r="M335" s="124"/>
      <c r="N335" s="121"/>
      <c r="O335" s="122"/>
      <c r="P335" s="122"/>
      <c r="Q335" s="121"/>
      <c r="R335" s="121"/>
      <c r="S335" s="121"/>
      <c r="T335" s="121"/>
      <c r="U335" s="121"/>
      <c r="V335" s="121"/>
      <c r="W335" s="121"/>
      <c r="X335" s="121"/>
      <c r="Y335" s="121"/>
      <c r="Z335" s="121"/>
      <c r="AA335" s="121"/>
      <c r="AB335" s="121"/>
      <c r="AC335" s="121"/>
      <c r="AD335" s="121"/>
      <c r="AE335" s="121"/>
      <c r="AF335" s="121"/>
      <c r="AG335" s="121"/>
      <c r="AH335" s="121"/>
      <c r="AI335" s="121"/>
      <c r="AJ335" s="121"/>
      <c r="AK335" s="121"/>
      <c r="AL335" s="121"/>
      <c r="AM335" s="121"/>
      <c r="AN335" s="121"/>
      <c r="AO335" s="121"/>
      <c r="AP335" s="121"/>
      <c r="AQ335" s="121"/>
      <c r="AR335" s="121"/>
      <c r="AS335" s="121"/>
      <c r="AT335" s="121"/>
      <c r="AU335" s="121"/>
      <c r="AV335" s="121"/>
      <c r="AW335" s="121"/>
      <c r="AX335" s="121"/>
    </row>
    <row r="336" spans="2:50" x14ac:dyDescent="0.2">
      <c r="B336" s="3"/>
      <c r="C336" s="3"/>
      <c r="D336" s="118" t="s">
        <v>332</v>
      </c>
      <c r="E336" s="118"/>
      <c r="F336" s="118" t="s">
        <v>396</v>
      </c>
      <c r="G336" s="118">
        <f t="shared" si="23"/>
        <v>1.02</v>
      </c>
      <c r="H336" s="15"/>
      <c r="I336" s="15"/>
      <c r="J336" s="123"/>
      <c r="K336" s="123"/>
      <c r="L336" s="123"/>
      <c r="M336" s="124"/>
      <c r="N336" s="121"/>
      <c r="O336" s="122"/>
      <c r="P336" s="122"/>
      <c r="Q336" s="121"/>
      <c r="R336" s="121"/>
      <c r="S336" s="121"/>
      <c r="T336" s="121"/>
      <c r="U336" s="121"/>
      <c r="V336" s="121"/>
      <c r="W336" s="121"/>
      <c r="X336" s="121"/>
      <c r="Y336" s="121"/>
      <c r="Z336" s="121"/>
      <c r="AA336" s="121"/>
      <c r="AB336" s="121"/>
      <c r="AC336" s="121"/>
      <c r="AD336" s="121"/>
      <c r="AE336" s="121"/>
      <c r="AF336" s="121"/>
      <c r="AG336" s="121"/>
      <c r="AH336" s="121"/>
      <c r="AI336" s="121"/>
      <c r="AJ336" s="121"/>
      <c r="AK336" s="121"/>
      <c r="AL336" s="121"/>
      <c r="AM336" s="121"/>
      <c r="AN336" s="121"/>
      <c r="AO336" s="121"/>
      <c r="AP336" s="121"/>
      <c r="AQ336" s="121"/>
      <c r="AR336" s="121"/>
      <c r="AS336" s="121"/>
      <c r="AT336" s="121"/>
      <c r="AU336" s="121"/>
      <c r="AV336" s="121"/>
      <c r="AW336" s="121"/>
      <c r="AX336" s="121"/>
    </row>
    <row r="337" spans="2:50" x14ac:dyDescent="0.2">
      <c r="B337" s="3"/>
      <c r="C337" s="3"/>
      <c r="D337" s="118" t="s">
        <v>333</v>
      </c>
      <c r="E337" s="118"/>
      <c r="F337" s="118" t="s">
        <v>401</v>
      </c>
      <c r="G337" s="118">
        <f t="shared" si="23"/>
        <v>1.1399999999999999</v>
      </c>
      <c r="H337" s="15"/>
      <c r="I337" s="15"/>
      <c r="J337" s="123"/>
      <c r="K337" s="123"/>
      <c r="L337" s="123"/>
      <c r="M337" s="124"/>
      <c r="N337" s="121"/>
      <c r="O337" s="122"/>
      <c r="P337" s="122"/>
      <c r="Q337" s="121"/>
      <c r="R337" s="121"/>
      <c r="S337" s="121"/>
      <c r="T337" s="121"/>
      <c r="U337" s="121"/>
      <c r="V337" s="121"/>
      <c r="W337" s="121"/>
      <c r="X337" s="121"/>
      <c r="Y337" s="121"/>
      <c r="Z337" s="121"/>
      <c r="AA337" s="121"/>
      <c r="AB337" s="121"/>
      <c r="AC337" s="121"/>
      <c r="AD337" s="121"/>
      <c r="AE337" s="121"/>
      <c r="AF337" s="121"/>
      <c r="AG337" s="121"/>
      <c r="AH337" s="121"/>
      <c r="AI337" s="121"/>
      <c r="AJ337" s="121"/>
      <c r="AK337" s="121"/>
      <c r="AL337" s="121"/>
      <c r="AM337" s="121"/>
      <c r="AN337" s="121"/>
      <c r="AO337" s="121"/>
      <c r="AP337" s="121"/>
      <c r="AQ337" s="121"/>
      <c r="AR337" s="121"/>
      <c r="AS337" s="121"/>
      <c r="AT337" s="121"/>
      <c r="AU337" s="121"/>
      <c r="AV337" s="121"/>
      <c r="AW337" s="121"/>
      <c r="AX337" s="121"/>
    </row>
    <row r="338" spans="2:50" x14ac:dyDescent="0.2">
      <c r="B338" s="3"/>
      <c r="C338" s="3"/>
      <c r="D338" s="118" t="s">
        <v>334</v>
      </c>
      <c r="E338" s="118"/>
      <c r="F338" s="118" t="s">
        <v>394</v>
      </c>
      <c r="G338" s="118">
        <f t="shared" si="23"/>
        <v>1.04</v>
      </c>
      <c r="H338" s="15"/>
      <c r="I338" s="15"/>
      <c r="J338" s="123"/>
      <c r="K338" s="123"/>
      <c r="L338" s="123"/>
      <c r="M338" s="124"/>
      <c r="N338" s="121"/>
      <c r="O338" s="122"/>
      <c r="P338" s="122"/>
      <c r="Q338" s="121"/>
      <c r="R338" s="121"/>
      <c r="S338" s="121"/>
      <c r="T338" s="121"/>
      <c r="U338" s="121"/>
      <c r="V338" s="121"/>
      <c r="W338" s="121"/>
      <c r="X338" s="121"/>
      <c r="Y338" s="121"/>
      <c r="Z338" s="121"/>
      <c r="AA338" s="121"/>
      <c r="AB338" s="121"/>
      <c r="AC338" s="121"/>
      <c r="AD338" s="121"/>
      <c r="AE338" s="121"/>
      <c r="AF338" s="121"/>
      <c r="AG338" s="121"/>
      <c r="AH338" s="121"/>
      <c r="AI338" s="121"/>
      <c r="AJ338" s="121"/>
      <c r="AK338" s="121"/>
      <c r="AL338" s="121"/>
      <c r="AM338" s="121"/>
      <c r="AN338" s="121"/>
      <c r="AO338" s="121"/>
      <c r="AP338" s="121"/>
      <c r="AQ338" s="121"/>
      <c r="AR338" s="121"/>
      <c r="AS338" s="121"/>
      <c r="AT338" s="121"/>
      <c r="AU338" s="121"/>
      <c r="AV338" s="121"/>
      <c r="AW338" s="121"/>
      <c r="AX338" s="121"/>
    </row>
    <row r="339" spans="2:50" x14ac:dyDescent="0.2">
      <c r="B339" s="3"/>
      <c r="C339" s="3"/>
      <c r="D339" s="118" t="s">
        <v>335</v>
      </c>
      <c r="E339" s="118"/>
      <c r="F339" s="118" t="s">
        <v>443</v>
      </c>
      <c r="G339" s="118">
        <f t="shared" si="23"/>
        <v>1.0900000000000001</v>
      </c>
      <c r="H339" s="15"/>
      <c r="I339" s="15"/>
      <c r="J339" s="123"/>
      <c r="K339" s="123"/>
      <c r="L339" s="123"/>
      <c r="M339" s="124"/>
      <c r="N339" s="121"/>
      <c r="O339" s="122"/>
      <c r="P339" s="122"/>
      <c r="Q339" s="121"/>
      <c r="R339" s="121"/>
      <c r="S339" s="121"/>
      <c r="T339" s="121"/>
      <c r="U339" s="121"/>
      <c r="V339" s="121"/>
      <c r="W339" s="121"/>
      <c r="X339" s="121"/>
      <c r="Y339" s="121"/>
      <c r="Z339" s="121"/>
      <c r="AA339" s="121"/>
      <c r="AB339" s="121"/>
      <c r="AC339" s="121"/>
      <c r="AD339" s="121"/>
      <c r="AE339" s="121"/>
      <c r="AF339" s="121"/>
      <c r="AG339" s="121"/>
      <c r="AH339" s="121"/>
      <c r="AI339" s="121"/>
      <c r="AJ339" s="121"/>
      <c r="AK339" s="121"/>
      <c r="AL339" s="121"/>
      <c r="AM339" s="121"/>
      <c r="AN339" s="121"/>
      <c r="AO339" s="121"/>
      <c r="AP339" s="121"/>
      <c r="AQ339" s="121"/>
      <c r="AR339" s="121"/>
      <c r="AS339" s="121"/>
      <c r="AT339" s="121"/>
      <c r="AU339" s="121"/>
      <c r="AV339" s="121"/>
      <c r="AW339" s="121"/>
      <c r="AX339" s="121"/>
    </row>
    <row r="340" spans="2:50" x14ac:dyDescent="0.2">
      <c r="B340" s="3"/>
      <c r="C340" s="3"/>
      <c r="D340" s="118" t="s">
        <v>336</v>
      </c>
      <c r="E340" s="118"/>
      <c r="F340" s="118" t="s">
        <v>455</v>
      </c>
      <c r="G340" s="118">
        <f t="shared" si="23"/>
        <v>0.88</v>
      </c>
      <c r="H340" s="15"/>
      <c r="I340" s="15"/>
      <c r="J340" s="123"/>
      <c r="K340" s="123"/>
      <c r="L340" s="123"/>
      <c r="M340" s="124"/>
      <c r="N340" s="121"/>
      <c r="O340" s="122"/>
      <c r="P340" s="122"/>
      <c r="Q340" s="121"/>
      <c r="R340" s="121"/>
      <c r="S340" s="121"/>
      <c r="T340" s="121"/>
      <c r="U340" s="121"/>
      <c r="V340" s="121"/>
      <c r="W340" s="121"/>
      <c r="X340" s="121"/>
      <c r="Y340" s="121"/>
      <c r="Z340" s="121"/>
      <c r="AA340" s="121"/>
      <c r="AB340" s="121"/>
      <c r="AC340" s="121"/>
      <c r="AD340" s="121"/>
      <c r="AE340" s="121"/>
      <c r="AF340" s="121"/>
      <c r="AG340" s="121"/>
      <c r="AH340" s="121"/>
      <c r="AI340" s="121"/>
      <c r="AJ340" s="121"/>
      <c r="AK340" s="121"/>
      <c r="AL340" s="121"/>
      <c r="AM340" s="121"/>
      <c r="AN340" s="121"/>
      <c r="AO340" s="121"/>
      <c r="AP340" s="121"/>
      <c r="AQ340" s="121"/>
      <c r="AR340" s="121"/>
      <c r="AS340" s="121"/>
      <c r="AT340" s="121"/>
      <c r="AU340" s="121"/>
      <c r="AV340" s="121"/>
      <c r="AW340" s="121"/>
      <c r="AX340" s="121"/>
    </row>
    <row r="341" spans="2:50" x14ac:dyDescent="0.2">
      <c r="B341" s="3"/>
      <c r="C341" s="3"/>
      <c r="D341" s="118" t="s">
        <v>337</v>
      </c>
      <c r="E341" s="118"/>
      <c r="F341" s="118" t="s">
        <v>453</v>
      </c>
      <c r="G341" s="118">
        <f t="shared" si="23"/>
        <v>0.99</v>
      </c>
      <c r="H341" s="15"/>
      <c r="I341" s="15"/>
      <c r="J341" s="123"/>
      <c r="K341" s="123"/>
      <c r="L341" s="123"/>
      <c r="M341" s="124"/>
      <c r="N341" s="121"/>
      <c r="O341" s="122"/>
      <c r="P341" s="122"/>
      <c r="Q341" s="121"/>
      <c r="R341" s="121"/>
      <c r="S341" s="121"/>
      <c r="T341" s="121"/>
      <c r="U341" s="121"/>
      <c r="V341" s="121"/>
      <c r="W341" s="121"/>
      <c r="X341" s="121"/>
      <c r="Y341" s="121"/>
      <c r="Z341" s="121"/>
      <c r="AA341" s="121"/>
      <c r="AB341" s="121"/>
      <c r="AC341" s="121"/>
      <c r="AD341" s="121"/>
      <c r="AE341" s="121"/>
      <c r="AF341" s="121"/>
      <c r="AG341" s="121"/>
      <c r="AH341" s="121"/>
      <c r="AI341" s="121"/>
      <c r="AJ341" s="121"/>
      <c r="AK341" s="121"/>
      <c r="AL341" s="121"/>
      <c r="AM341" s="121"/>
      <c r="AN341" s="121"/>
      <c r="AO341" s="121"/>
      <c r="AP341" s="121"/>
      <c r="AQ341" s="121"/>
      <c r="AR341" s="121"/>
      <c r="AS341" s="121"/>
      <c r="AT341" s="121"/>
      <c r="AU341" s="121"/>
      <c r="AV341" s="121"/>
      <c r="AW341" s="121"/>
      <c r="AX341" s="121"/>
    </row>
    <row r="342" spans="2:50" x14ac:dyDescent="0.2">
      <c r="B342" s="3"/>
      <c r="C342" s="3"/>
      <c r="D342" s="118" t="s">
        <v>338</v>
      </c>
      <c r="E342" s="118"/>
      <c r="F342" s="118" t="s">
        <v>432</v>
      </c>
      <c r="G342" s="118">
        <f t="shared" si="23"/>
        <v>1.1499999999999999</v>
      </c>
      <c r="H342" s="15"/>
      <c r="I342" s="15"/>
      <c r="J342" s="123"/>
      <c r="K342" s="123"/>
      <c r="L342" s="123"/>
      <c r="M342" s="124"/>
      <c r="N342" s="121"/>
      <c r="O342" s="122"/>
      <c r="P342" s="122"/>
      <c r="Q342" s="121"/>
      <c r="R342" s="121"/>
      <c r="S342" s="121"/>
      <c r="T342" s="121"/>
      <c r="U342" s="121"/>
      <c r="V342" s="121"/>
      <c r="W342" s="121"/>
      <c r="X342" s="121"/>
      <c r="Y342" s="121"/>
      <c r="Z342" s="121"/>
      <c r="AA342" s="121"/>
      <c r="AB342" s="121"/>
      <c r="AC342" s="121"/>
      <c r="AD342" s="121"/>
      <c r="AE342" s="121"/>
      <c r="AF342" s="121"/>
      <c r="AG342" s="121"/>
      <c r="AH342" s="121"/>
      <c r="AI342" s="121"/>
      <c r="AJ342" s="121"/>
      <c r="AK342" s="121"/>
      <c r="AL342" s="121"/>
      <c r="AM342" s="121"/>
      <c r="AN342" s="121"/>
      <c r="AO342" s="121"/>
      <c r="AP342" s="121"/>
      <c r="AQ342" s="121"/>
      <c r="AR342" s="121"/>
      <c r="AS342" s="121"/>
      <c r="AT342" s="121"/>
      <c r="AU342" s="121"/>
      <c r="AV342" s="121"/>
      <c r="AW342" s="121"/>
      <c r="AX342" s="121"/>
    </row>
    <row r="343" spans="2:50" x14ac:dyDescent="0.2">
      <c r="B343" s="3"/>
      <c r="C343" s="3"/>
      <c r="D343" s="118" t="s">
        <v>339</v>
      </c>
      <c r="E343" s="118"/>
      <c r="F343" s="118" t="s">
        <v>433</v>
      </c>
      <c r="G343" s="118">
        <f t="shared" si="23"/>
        <v>1.27</v>
      </c>
      <c r="H343" s="15"/>
      <c r="I343" s="15"/>
      <c r="J343" s="123"/>
      <c r="K343" s="123"/>
      <c r="L343" s="123"/>
      <c r="M343" s="124"/>
      <c r="N343" s="121"/>
      <c r="O343" s="122"/>
      <c r="P343" s="122"/>
      <c r="Q343" s="121"/>
      <c r="R343" s="121"/>
      <c r="S343" s="121"/>
      <c r="T343" s="121"/>
      <c r="U343" s="121"/>
      <c r="V343" s="121"/>
      <c r="W343" s="121"/>
      <c r="X343" s="121"/>
      <c r="Y343" s="121"/>
      <c r="Z343" s="121"/>
      <c r="AA343" s="121"/>
      <c r="AB343" s="121"/>
      <c r="AC343" s="121"/>
      <c r="AD343" s="121"/>
      <c r="AE343" s="121"/>
      <c r="AF343" s="121"/>
      <c r="AG343" s="121"/>
      <c r="AH343" s="121"/>
      <c r="AI343" s="121"/>
      <c r="AJ343" s="121"/>
      <c r="AK343" s="121"/>
      <c r="AL343" s="121"/>
      <c r="AM343" s="121"/>
      <c r="AN343" s="121"/>
      <c r="AO343" s="121"/>
      <c r="AP343" s="121"/>
      <c r="AQ343" s="121"/>
      <c r="AR343" s="121"/>
      <c r="AS343" s="121"/>
      <c r="AT343" s="121"/>
      <c r="AU343" s="121"/>
      <c r="AV343" s="121"/>
      <c r="AW343" s="121"/>
      <c r="AX343" s="121"/>
    </row>
    <row r="344" spans="2:50" x14ac:dyDescent="0.2">
      <c r="B344" s="3"/>
      <c r="C344" s="3"/>
      <c r="D344" s="118" t="s">
        <v>340</v>
      </c>
      <c r="E344" s="118"/>
      <c r="F344" s="118" t="s">
        <v>385</v>
      </c>
      <c r="G344" s="118">
        <f t="shared" si="23"/>
        <v>1.03</v>
      </c>
      <c r="H344" s="15"/>
      <c r="I344" s="15"/>
      <c r="J344" s="123"/>
      <c r="K344" s="123"/>
      <c r="L344" s="123"/>
      <c r="M344" s="124"/>
      <c r="N344" s="121"/>
      <c r="O344" s="122"/>
      <c r="P344" s="122"/>
      <c r="Q344" s="121"/>
      <c r="R344" s="121"/>
      <c r="S344" s="121"/>
      <c r="T344" s="121"/>
      <c r="U344" s="121"/>
      <c r="V344" s="121"/>
      <c r="W344" s="121"/>
      <c r="X344" s="121"/>
      <c r="Y344" s="121"/>
      <c r="Z344" s="121"/>
      <c r="AA344" s="121"/>
      <c r="AB344" s="121"/>
      <c r="AC344" s="121"/>
      <c r="AD344" s="121"/>
      <c r="AE344" s="121"/>
      <c r="AF344" s="121"/>
      <c r="AG344" s="121"/>
      <c r="AH344" s="121"/>
      <c r="AI344" s="121"/>
      <c r="AJ344" s="121"/>
      <c r="AK344" s="121"/>
      <c r="AL344" s="121"/>
      <c r="AM344" s="121"/>
      <c r="AN344" s="121"/>
      <c r="AO344" s="121"/>
      <c r="AP344" s="121"/>
      <c r="AQ344" s="121"/>
      <c r="AR344" s="121"/>
      <c r="AS344" s="121"/>
      <c r="AT344" s="121"/>
      <c r="AU344" s="121"/>
      <c r="AV344" s="121"/>
      <c r="AW344" s="121"/>
      <c r="AX344" s="121"/>
    </row>
    <row r="345" spans="2:50" x14ac:dyDescent="0.2">
      <c r="B345" s="3"/>
      <c r="C345" s="3"/>
      <c r="D345" s="118" t="s">
        <v>341</v>
      </c>
      <c r="E345" s="118"/>
      <c r="F345" s="118" t="s">
        <v>452</v>
      </c>
      <c r="G345" s="118">
        <f t="shared" si="23"/>
        <v>1.01</v>
      </c>
      <c r="H345" s="15"/>
      <c r="I345" s="15"/>
      <c r="J345" s="123"/>
      <c r="K345" s="123"/>
      <c r="L345" s="123"/>
      <c r="M345" s="124"/>
      <c r="N345" s="121"/>
      <c r="O345" s="122"/>
      <c r="P345" s="122"/>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121"/>
      <c r="AM345" s="121"/>
      <c r="AN345" s="121"/>
      <c r="AO345" s="121"/>
      <c r="AP345" s="121"/>
      <c r="AQ345" s="121"/>
      <c r="AR345" s="121"/>
      <c r="AS345" s="121"/>
      <c r="AT345" s="121"/>
      <c r="AU345" s="121"/>
      <c r="AV345" s="121"/>
      <c r="AW345" s="121"/>
      <c r="AX345" s="121"/>
    </row>
    <row r="346" spans="2:50" x14ac:dyDescent="0.2">
      <c r="B346" s="3"/>
      <c r="C346" s="3"/>
      <c r="D346" s="118" t="s">
        <v>342</v>
      </c>
      <c r="E346" s="118"/>
      <c r="F346" s="118" t="s">
        <v>399</v>
      </c>
      <c r="G346" s="118">
        <f t="shared" si="23"/>
        <v>1.07</v>
      </c>
      <c r="H346" s="15"/>
      <c r="I346" s="15"/>
      <c r="J346" s="123"/>
      <c r="K346" s="123"/>
      <c r="L346" s="123"/>
      <c r="M346" s="124"/>
      <c r="N346" s="121"/>
      <c r="O346" s="122"/>
      <c r="P346" s="122"/>
      <c r="Q346" s="121"/>
      <c r="R346" s="121"/>
      <c r="S346" s="121"/>
      <c r="T346" s="121"/>
      <c r="U346" s="121"/>
      <c r="V346" s="121"/>
      <c r="W346" s="121"/>
      <c r="X346" s="121"/>
      <c r="Y346" s="121"/>
      <c r="Z346" s="121"/>
      <c r="AA346" s="121"/>
      <c r="AB346" s="121"/>
      <c r="AC346" s="121"/>
      <c r="AD346" s="121"/>
      <c r="AE346" s="121"/>
      <c r="AF346" s="121"/>
      <c r="AG346" s="121"/>
      <c r="AH346" s="121"/>
      <c r="AI346" s="121"/>
      <c r="AJ346" s="121"/>
      <c r="AK346" s="121"/>
      <c r="AL346" s="121"/>
      <c r="AM346" s="121"/>
      <c r="AN346" s="121"/>
      <c r="AO346" s="121"/>
      <c r="AP346" s="121"/>
      <c r="AQ346" s="121"/>
      <c r="AR346" s="121"/>
      <c r="AS346" s="121"/>
      <c r="AT346" s="121"/>
      <c r="AU346" s="121"/>
      <c r="AV346" s="121"/>
      <c r="AW346" s="121"/>
      <c r="AX346" s="121"/>
    </row>
    <row r="347" spans="2:50" x14ac:dyDescent="0.2">
      <c r="B347" s="3"/>
      <c r="C347" s="3"/>
      <c r="D347" s="118" t="s">
        <v>343</v>
      </c>
      <c r="E347" s="118"/>
      <c r="F347" s="118" t="s">
        <v>448</v>
      </c>
      <c r="G347" s="118">
        <f t="shared" si="23"/>
        <v>0.98</v>
      </c>
      <c r="H347" s="15"/>
      <c r="I347" s="15"/>
      <c r="J347" s="123"/>
      <c r="K347" s="123"/>
      <c r="L347" s="123"/>
      <c r="M347" s="124"/>
      <c r="N347" s="121"/>
      <c r="O347" s="122"/>
      <c r="P347" s="122"/>
      <c r="Q347" s="121"/>
      <c r="R347" s="121"/>
      <c r="S347" s="121"/>
      <c r="T347" s="121"/>
      <c r="U347" s="121"/>
      <c r="V347" s="121"/>
      <c r="W347" s="121"/>
      <c r="X347" s="121"/>
      <c r="Y347" s="121"/>
      <c r="Z347" s="121"/>
      <c r="AA347" s="121"/>
      <c r="AB347" s="121"/>
      <c r="AC347" s="121"/>
      <c r="AD347" s="121"/>
      <c r="AE347" s="121"/>
      <c r="AF347" s="121"/>
      <c r="AG347" s="121"/>
      <c r="AH347" s="121"/>
      <c r="AI347" s="121"/>
      <c r="AJ347" s="121"/>
      <c r="AK347" s="121"/>
      <c r="AL347" s="121"/>
      <c r="AM347" s="121"/>
      <c r="AN347" s="121"/>
      <c r="AO347" s="121"/>
      <c r="AP347" s="121"/>
      <c r="AQ347" s="121"/>
      <c r="AR347" s="121"/>
      <c r="AS347" s="121"/>
      <c r="AT347" s="121"/>
      <c r="AU347" s="121"/>
      <c r="AV347" s="121"/>
      <c r="AW347" s="121"/>
      <c r="AX347" s="121"/>
    </row>
    <row r="348" spans="2:50" x14ac:dyDescent="0.2">
      <c r="B348" s="3"/>
      <c r="C348" s="3"/>
      <c r="D348" s="118" t="s">
        <v>344</v>
      </c>
      <c r="E348" s="118"/>
      <c r="F348" s="118" t="s">
        <v>449</v>
      </c>
      <c r="G348" s="118">
        <f t="shared" si="23"/>
        <v>1.19</v>
      </c>
      <c r="H348" s="15"/>
      <c r="I348" s="15"/>
      <c r="J348" s="123"/>
      <c r="K348" s="123"/>
      <c r="L348" s="123"/>
      <c r="M348" s="124"/>
      <c r="N348" s="121"/>
      <c r="O348" s="122"/>
      <c r="P348" s="122"/>
      <c r="Q348" s="121"/>
      <c r="R348" s="121"/>
      <c r="S348" s="121"/>
      <c r="T348" s="121"/>
      <c r="U348" s="121"/>
      <c r="V348" s="121"/>
      <c r="W348" s="121"/>
      <c r="X348" s="121"/>
      <c r="Y348" s="121"/>
      <c r="Z348" s="121"/>
      <c r="AA348" s="121"/>
      <c r="AB348" s="121"/>
      <c r="AC348" s="121"/>
      <c r="AD348" s="121"/>
      <c r="AE348" s="121"/>
      <c r="AF348" s="121"/>
      <c r="AG348" s="121"/>
      <c r="AH348" s="121"/>
      <c r="AI348" s="121"/>
      <c r="AJ348" s="121"/>
      <c r="AK348" s="121"/>
      <c r="AL348" s="121"/>
      <c r="AM348" s="121"/>
      <c r="AN348" s="121"/>
      <c r="AO348" s="121"/>
      <c r="AP348" s="121"/>
      <c r="AQ348" s="121"/>
      <c r="AR348" s="121"/>
      <c r="AS348" s="121"/>
      <c r="AT348" s="121"/>
      <c r="AU348" s="121"/>
      <c r="AV348" s="121"/>
      <c r="AW348" s="121"/>
      <c r="AX348" s="121"/>
    </row>
    <row r="349" spans="2:50" x14ac:dyDescent="0.2">
      <c r="B349" s="3"/>
      <c r="C349" s="3"/>
      <c r="D349" s="118" t="s">
        <v>345</v>
      </c>
      <c r="E349" s="118"/>
      <c r="F349" s="118" t="s">
        <v>392</v>
      </c>
      <c r="G349" s="118">
        <f t="shared" si="23"/>
        <v>1.1399999999999999</v>
      </c>
      <c r="H349" s="15"/>
      <c r="I349" s="15"/>
      <c r="J349" s="123"/>
      <c r="K349" s="123"/>
      <c r="L349" s="123"/>
      <c r="M349" s="124"/>
      <c r="N349" s="121"/>
      <c r="O349" s="122"/>
      <c r="P349" s="122"/>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1"/>
      <c r="AL349" s="121"/>
      <c r="AM349" s="121"/>
      <c r="AN349" s="121"/>
      <c r="AO349" s="121"/>
      <c r="AP349" s="121"/>
      <c r="AQ349" s="121"/>
      <c r="AR349" s="121"/>
      <c r="AS349" s="121"/>
      <c r="AT349" s="121"/>
      <c r="AU349" s="121"/>
      <c r="AV349" s="121"/>
      <c r="AW349" s="121"/>
      <c r="AX349" s="121"/>
    </row>
    <row r="350" spans="2:50" x14ac:dyDescent="0.2">
      <c r="B350" s="3"/>
      <c r="C350" s="3"/>
      <c r="D350" s="118" t="s">
        <v>346</v>
      </c>
      <c r="E350" s="118"/>
      <c r="F350" s="118" t="s">
        <v>440</v>
      </c>
      <c r="G350" s="118">
        <f t="shared" si="23"/>
        <v>1.08</v>
      </c>
      <c r="H350" s="15"/>
      <c r="I350" s="15"/>
      <c r="J350" s="123"/>
      <c r="K350" s="123"/>
      <c r="L350" s="123"/>
      <c r="M350" s="124"/>
      <c r="N350" s="121"/>
      <c r="O350" s="122"/>
      <c r="P350" s="122"/>
      <c r="Q350" s="121"/>
      <c r="R350" s="121"/>
      <c r="S350" s="121"/>
      <c r="T350" s="121"/>
      <c r="U350" s="121"/>
      <c r="V350" s="121"/>
      <c r="W350" s="121"/>
      <c r="X350" s="121"/>
      <c r="Y350" s="121"/>
      <c r="Z350" s="121"/>
      <c r="AA350" s="121"/>
      <c r="AB350" s="121"/>
      <c r="AC350" s="121"/>
      <c r="AD350" s="121"/>
      <c r="AE350" s="121"/>
      <c r="AF350" s="121"/>
      <c r="AG350" s="121"/>
      <c r="AH350" s="121"/>
      <c r="AI350" s="121"/>
      <c r="AJ350" s="121"/>
      <c r="AK350" s="121"/>
      <c r="AL350" s="121"/>
      <c r="AM350" s="121"/>
      <c r="AN350" s="121"/>
      <c r="AO350" s="121"/>
      <c r="AP350" s="121"/>
      <c r="AQ350" s="121"/>
      <c r="AR350" s="121"/>
      <c r="AS350" s="121"/>
      <c r="AT350" s="121"/>
      <c r="AU350" s="121"/>
      <c r="AV350" s="121"/>
      <c r="AW350" s="121"/>
      <c r="AX350" s="121"/>
    </row>
    <row r="351" spans="2:50" x14ac:dyDescent="0.2">
      <c r="B351" s="3"/>
      <c r="C351" s="3"/>
      <c r="D351" s="118" t="s">
        <v>347</v>
      </c>
      <c r="E351" s="118"/>
      <c r="F351" s="118" t="s">
        <v>399</v>
      </c>
      <c r="G351" s="118">
        <f t="shared" si="23"/>
        <v>1.07</v>
      </c>
      <c r="H351" s="15"/>
      <c r="I351" s="15"/>
      <c r="J351" s="123"/>
      <c r="K351" s="123"/>
      <c r="L351" s="123"/>
      <c r="M351" s="124"/>
      <c r="N351" s="121"/>
      <c r="O351" s="122"/>
      <c r="P351" s="122"/>
      <c r="Q351" s="121"/>
      <c r="R351" s="121"/>
      <c r="S351" s="121"/>
      <c r="T351" s="121"/>
      <c r="U351" s="121"/>
      <c r="V351" s="121"/>
      <c r="W351" s="121"/>
      <c r="X351" s="121"/>
      <c r="Y351" s="121"/>
      <c r="Z351" s="121"/>
      <c r="AA351" s="121"/>
      <c r="AB351" s="121"/>
      <c r="AC351" s="121"/>
      <c r="AD351" s="121"/>
      <c r="AE351" s="121"/>
      <c r="AF351" s="121"/>
      <c r="AG351" s="121"/>
      <c r="AH351" s="121"/>
      <c r="AI351" s="121"/>
      <c r="AJ351" s="121"/>
      <c r="AK351" s="121"/>
      <c r="AL351" s="121"/>
      <c r="AM351" s="121"/>
      <c r="AN351" s="121"/>
      <c r="AO351" s="121"/>
      <c r="AP351" s="121"/>
      <c r="AQ351" s="121"/>
      <c r="AR351" s="121"/>
      <c r="AS351" s="121"/>
      <c r="AT351" s="121"/>
      <c r="AU351" s="121"/>
      <c r="AV351" s="121"/>
      <c r="AW351" s="121"/>
      <c r="AX351" s="121"/>
    </row>
    <row r="352" spans="2:50" x14ac:dyDescent="0.2">
      <c r="B352" s="3"/>
      <c r="C352" s="3"/>
      <c r="D352" s="118" t="s">
        <v>348</v>
      </c>
      <c r="E352" s="118"/>
      <c r="F352" s="118" t="s">
        <v>382</v>
      </c>
      <c r="G352" s="118">
        <f t="shared" si="23"/>
        <v>1.1299999999999999</v>
      </c>
      <c r="H352" s="15"/>
      <c r="I352" s="15"/>
      <c r="J352" s="123"/>
      <c r="K352" s="123"/>
      <c r="L352" s="123"/>
      <c r="M352" s="124"/>
      <c r="N352" s="121"/>
      <c r="O352" s="122"/>
      <c r="P352" s="122"/>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121"/>
      <c r="AL352" s="121"/>
      <c r="AM352" s="121"/>
      <c r="AN352" s="121"/>
      <c r="AO352" s="121"/>
      <c r="AP352" s="121"/>
      <c r="AQ352" s="121"/>
      <c r="AR352" s="121"/>
      <c r="AS352" s="121"/>
      <c r="AT352" s="121"/>
      <c r="AU352" s="121"/>
      <c r="AV352" s="121"/>
      <c r="AW352" s="121"/>
      <c r="AX352" s="121"/>
    </row>
    <row r="353" spans="2:50" x14ac:dyDescent="0.2">
      <c r="B353" s="3"/>
      <c r="C353" s="3"/>
      <c r="D353" s="118" t="s">
        <v>349</v>
      </c>
      <c r="E353" s="118"/>
      <c r="F353" s="118" t="s">
        <v>389</v>
      </c>
      <c r="G353" s="118">
        <f t="shared" si="23"/>
        <v>0.97</v>
      </c>
      <c r="H353" s="15"/>
      <c r="I353" s="15"/>
      <c r="J353" s="123"/>
      <c r="K353" s="123"/>
      <c r="L353" s="123"/>
      <c r="M353" s="124"/>
      <c r="N353" s="121"/>
      <c r="O353" s="122"/>
      <c r="P353" s="122"/>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121"/>
      <c r="AL353" s="121"/>
      <c r="AM353" s="121"/>
      <c r="AN353" s="121"/>
      <c r="AO353" s="121"/>
      <c r="AP353" s="121"/>
      <c r="AQ353" s="121"/>
      <c r="AR353" s="121"/>
      <c r="AS353" s="121"/>
      <c r="AT353" s="121"/>
      <c r="AU353" s="121"/>
      <c r="AV353" s="121"/>
      <c r="AW353" s="121"/>
      <c r="AX353" s="121"/>
    </row>
    <row r="354" spans="2:50" x14ac:dyDescent="0.2">
      <c r="B354" s="3"/>
      <c r="C354" s="3"/>
      <c r="D354" s="118" t="s">
        <v>350</v>
      </c>
      <c r="E354" s="118"/>
      <c r="F354" s="118" t="s">
        <v>390</v>
      </c>
      <c r="G354" s="118">
        <f t="shared" si="23"/>
        <v>1</v>
      </c>
      <c r="H354" s="15"/>
      <c r="I354" s="15"/>
      <c r="J354" s="123"/>
      <c r="K354" s="123"/>
      <c r="L354" s="123"/>
      <c r="M354" s="124"/>
      <c r="N354" s="121"/>
      <c r="O354" s="122"/>
      <c r="P354" s="122"/>
      <c r="Q354" s="121"/>
      <c r="R354" s="121"/>
      <c r="S354" s="121"/>
      <c r="T354" s="121"/>
      <c r="U354" s="121"/>
      <c r="V354" s="121"/>
      <c r="W354" s="121"/>
      <c r="X354" s="121"/>
      <c r="Y354" s="121"/>
      <c r="Z354" s="121"/>
      <c r="AA354" s="121"/>
      <c r="AB354" s="121"/>
      <c r="AC354" s="121"/>
      <c r="AD354" s="121"/>
      <c r="AE354" s="121"/>
      <c r="AF354" s="121"/>
      <c r="AG354" s="121"/>
      <c r="AH354" s="121"/>
      <c r="AI354" s="121"/>
      <c r="AJ354" s="121"/>
      <c r="AK354" s="121"/>
      <c r="AL354" s="121"/>
      <c r="AM354" s="121"/>
      <c r="AN354" s="121"/>
      <c r="AO354" s="121"/>
      <c r="AP354" s="121"/>
      <c r="AQ354" s="121"/>
      <c r="AR354" s="121"/>
      <c r="AS354" s="121"/>
      <c r="AT354" s="121"/>
      <c r="AU354" s="121"/>
      <c r="AV354" s="121"/>
      <c r="AW354" s="121"/>
      <c r="AX354" s="121"/>
    </row>
    <row r="355" spans="2:50" x14ac:dyDescent="0.2">
      <c r="B355" s="3"/>
      <c r="C355" s="3"/>
      <c r="D355" s="118" t="s">
        <v>351</v>
      </c>
      <c r="E355" s="118"/>
      <c r="F355" s="118" t="s">
        <v>402</v>
      </c>
      <c r="G355" s="118">
        <f t="shared" si="23"/>
        <v>1.02</v>
      </c>
      <c r="H355" s="15"/>
      <c r="I355" s="15"/>
      <c r="J355" s="123"/>
      <c r="K355" s="123"/>
      <c r="L355" s="123"/>
      <c r="M355" s="124"/>
      <c r="N355" s="121"/>
      <c r="O355" s="122"/>
      <c r="P355" s="122"/>
      <c r="Q355" s="121"/>
      <c r="R355" s="121"/>
      <c r="S355" s="121"/>
      <c r="T355" s="121"/>
      <c r="U355" s="121"/>
      <c r="V355" s="121"/>
      <c r="W355" s="121"/>
      <c r="X355" s="121"/>
      <c r="Y355" s="121"/>
      <c r="Z355" s="121"/>
      <c r="AA355" s="121"/>
      <c r="AB355" s="121"/>
      <c r="AC355" s="121"/>
      <c r="AD355" s="121"/>
      <c r="AE355" s="121"/>
      <c r="AF355" s="121"/>
      <c r="AG355" s="121"/>
      <c r="AH355" s="121"/>
      <c r="AI355" s="121"/>
      <c r="AJ355" s="121"/>
      <c r="AK355" s="121"/>
      <c r="AL355" s="121"/>
      <c r="AM355" s="121"/>
      <c r="AN355" s="121"/>
      <c r="AO355" s="121"/>
      <c r="AP355" s="121"/>
      <c r="AQ355" s="121"/>
      <c r="AR355" s="121"/>
      <c r="AS355" s="121"/>
      <c r="AT355" s="121"/>
      <c r="AU355" s="121"/>
      <c r="AV355" s="121"/>
      <c r="AW355" s="121"/>
      <c r="AX355" s="121"/>
    </row>
    <row r="356" spans="2:50" x14ac:dyDescent="0.2">
      <c r="B356" s="3"/>
      <c r="C356" s="3"/>
      <c r="D356" s="118" t="s">
        <v>352</v>
      </c>
      <c r="E356" s="118"/>
      <c r="F356" s="118" t="s">
        <v>435</v>
      </c>
      <c r="G356" s="118">
        <f t="shared" si="23"/>
        <v>1.03</v>
      </c>
      <c r="H356" s="15"/>
      <c r="I356" s="15"/>
      <c r="J356" s="123"/>
      <c r="K356" s="123"/>
      <c r="L356" s="123"/>
      <c r="M356" s="124"/>
      <c r="N356" s="121"/>
      <c r="O356" s="122"/>
      <c r="P356" s="122"/>
      <c r="Q356" s="121"/>
      <c r="R356" s="121"/>
      <c r="S356" s="121"/>
      <c r="T356" s="121"/>
      <c r="U356" s="121"/>
      <c r="V356" s="121"/>
      <c r="W356" s="121"/>
      <c r="X356" s="121"/>
      <c r="Y356" s="121"/>
      <c r="Z356" s="121"/>
      <c r="AA356" s="121"/>
      <c r="AB356" s="121"/>
      <c r="AC356" s="121"/>
      <c r="AD356" s="121"/>
      <c r="AE356" s="121"/>
      <c r="AF356" s="121"/>
      <c r="AG356" s="121"/>
      <c r="AH356" s="121"/>
      <c r="AI356" s="121"/>
      <c r="AJ356" s="121"/>
      <c r="AK356" s="121"/>
      <c r="AL356" s="121"/>
      <c r="AM356" s="121"/>
      <c r="AN356" s="121"/>
      <c r="AO356" s="121"/>
      <c r="AP356" s="121"/>
      <c r="AQ356" s="121"/>
      <c r="AR356" s="121"/>
      <c r="AS356" s="121"/>
      <c r="AT356" s="121"/>
      <c r="AU356" s="121"/>
      <c r="AV356" s="121"/>
      <c r="AW356" s="121"/>
      <c r="AX356" s="121"/>
    </row>
    <row r="357" spans="2:50" x14ac:dyDescent="0.2">
      <c r="B357" s="3"/>
      <c r="C357" s="3"/>
      <c r="D357" s="118" t="s">
        <v>353</v>
      </c>
      <c r="E357" s="118"/>
      <c r="F357" s="118" t="s">
        <v>443</v>
      </c>
      <c r="G357" s="118">
        <f t="shared" si="23"/>
        <v>1.0900000000000001</v>
      </c>
      <c r="H357" s="15"/>
      <c r="I357" s="15"/>
      <c r="J357" s="123"/>
      <c r="K357" s="123"/>
      <c r="L357" s="123"/>
      <c r="M357" s="124"/>
      <c r="N357" s="121"/>
      <c r="O357" s="122"/>
      <c r="P357" s="122"/>
      <c r="Q357" s="121"/>
      <c r="R357" s="121"/>
      <c r="S357" s="121"/>
      <c r="T357" s="121"/>
      <c r="U357" s="121"/>
      <c r="V357" s="121"/>
      <c r="W357" s="121"/>
      <c r="X357" s="121"/>
      <c r="Y357" s="121"/>
      <c r="Z357" s="121"/>
      <c r="AA357" s="121"/>
      <c r="AB357" s="121"/>
      <c r="AC357" s="121"/>
      <c r="AD357" s="121"/>
      <c r="AE357" s="121"/>
      <c r="AF357" s="121"/>
      <c r="AG357" s="121"/>
      <c r="AH357" s="121"/>
      <c r="AI357" s="121"/>
      <c r="AJ357" s="121"/>
      <c r="AK357" s="121"/>
      <c r="AL357" s="121"/>
      <c r="AM357" s="121"/>
      <c r="AN357" s="121"/>
      <c r="AO357" s="121"/>
      <c r="AP357" s="121"/>
      <c r="AQ357" s="121"/>
      <c r="AR357" s="121"/>
      <c r="AS357" s="121"/>
      <c r="AT357" s="121"/>
      <c r="AU357" s="121"/>
      <c r="AV357" s="121"/>
      <c r="AW357" s="121"/>
      <c r="AX357" s="121"/>
    </row>
    <row r="358" spans="2:50" x14ac:dyDescent="0.2">
      <c r="B358" s="3"/>
      <c r="C358" s="3"/>
      <c r="D358" s="118" t="s">
        <v>354</v>
      </c>
      <c r="E358" s="118"/>
      <c r="F358" s="118" t="s">
        <v>445</v>
      </c>
      <c r="G358" s="118">
        <f t="shared" si="23"/>
        <v>0.96</v>
      </c>
      <c r="H358" s="15"/>
      <c r="I358" s="15"/>
      <c r="J358" s="123"/>
      <c r="K358" s="123"/>
      <c r="L358" s="123"/>
      <c r="M358" s="124"/>
      <c r="N358" s="121"/>
      <c r="O358" s="122"/>
      <c r="P358" s="122"/>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121"/>
      <c r="AL358" s="121"/>
      <c r="AM358" s="121"/>
      <c r="AN358" s="121"/>
      <c r="AO358" s="121"/>
      <c r="AP358" s="121"/>
      <c r="AQ358" s="121"/>
      <c r="AR358" s="121"/>
      <c r="AS358" s="121"/>
      <c r="AT358" s="121"/>
      <c r="AU358" s="121"/>
      <c r="AV358" s="121"/>
      <c r="AW358" s="121"/>
      <c r="AX358" s="121"/>
    </row>
    <row r="359" spans="2:50" x14ac:dyDescent="0.2">
      <c r="B359" s="3"/>
      <c r="C359" s="3"/>
      <c r="D359" s="118" t="s">
        <v>355</v>
      </c>
      <c r="E359" s="118"/>
      <c r="F359" s="118" t="s">
        <v>390</v>
      </c>
      <c r="G359" s="118">
        <f t="shared" si="23"/>
        <v>1</v>
      </c>
      <c r="H359" s="15"/>
      <c r="I359" s="15"/>
      <c r="J359" s="123"/>
      <c r="K359" s="123"/>
      <c r="L359" s="123"/>
      <c r="M359" s="124"/>
      <c r="N359" s="121"/>
      <c r="O359" s="122"/>
      <c r="P359" s="122"/>
      <c r="Q359" s="121"/>
      <c r="R359" s="121"/>
      <c r="S359" s="121"/>
      <c r="T359" s="121"/>
      <c r="U359" s="121"/>
      <c r="V359" s="121"/>
      <c r="W359" s="121"/>
      <c r="X359" s="121"/>
      <c r="Y359" s="121"/>
      <c r="Z359" s="121"/>
      <c r="AA359" s="121"/>
      <c r="AB359" s="121"/>
      <c r="AC359" s="121"/>
      <c r="AD359" s="121"/>
      <c r="AE359" s="121"/>
      <c r="AF359" s="121"/>
      <c r="AG359" s="121"/>
      <c r="AH359" s="121"/>
      <c r="AI359" s="121"/>
      <c r="AJ359" s="121"/>
      <c r="AK359" s="121"/>
      <c r="AL359" s="121"/>
      <c r="AM359" s="121"/>
      <c r="AN359" s="121"/>
      <c r="AO359" s="121"/>
      <c r="AP359" s="121"/>
      <c r="AQ359" s="121"/>
      <c r="AR359" s="121"/>
      <c r="AS359" s="121"/>
      <c r="AT359" s="121"/>
      <c r="AU359" s="121"/>
      <c r="AV359" s="121"/>
      <c r="AW359" s="121"/>
      <c r="AX359" s="121"/>
    </row>
    <row r="360" spans="2:50" x14ac:dyDescent="0.2">
      <c r="B360" s="3"/>
      <c r="C360" s="3"/>
      <c r="D360" s="118" t="s">
        <v>356</v>
      </c>
      <c r="E360" s="118"/>
      <c r="F360" s="118" t="s">
        <v>396</v>
      </c>
      <c r="G360" s="118">
        <f t="shared" si="23"/>
        <v>1.02</v>
      </c>
      <c r="H360" s="15"/>
      <c r="I360" s="15"/>
      <c r="J360" s="123"/>
      <c r="K360" s="123"/>
      <c r="L360" s="123"/>
      <c r="M360" s="124"/>
      <c r="N360" s="121"/>
      <c r="O360" s="122"/>
      <c r="P360" s="122"/>
      <c r="Q360" s="121"/>
      <c r="R360" s="121"/>
      <c r="S360" s="121"/>
      <c r="T360" s="121"/>
      <c r="U360" s="121"/>
      <c r="V360" s="121"/>
      <c r="W360" s="121"/>
      <c r="X360" s="121"/>
      <c r="Y360" s="121"/>
      <c r="Z360" s="121"/>
      <c r="AA360" s="121"/>
      <c r="AB360" s="121"/>
      <c r="AC360" s="121"/>
      <c r="AD360" s="121"/>
      <c r="AE360" s="121"/>
      <c r="AF360" s="121"/>
      <c r="AG360" s="121"/>
      <c r="AH360" s="121"/>
      <c r="AI360" s="121"/>
      <c r="AJ360" s="121"/>
      <c r="AK360" s="121"/>
      <c r="AL360" s="121"/>
      <c r="AM360" s="121"/>
      <c r="AN360" s="121"/>
      <c r="AO360" s="121"/>
      <c r="AP360" s="121"/>
      <c r="AQ360" s="121"/>
      <c r="AR360" s="121"/>
      <c r="AS360" s="121"/>
      <c r="AT360" s="121"/>
      <c r="AU360" s="121"/>
      <c r="AV360" s="121"/>
      <c r="AW360" s="121"/>
      <c r="AX360" s="121"/>
    </row>
    <row r="361" spans="2:50" x14ac:dyDescent="0.2">
      <c r="B361" s="3"/>
      <c r="C361" s="3"/>
      <c r="D361" s="118" t="s">
        <v>357</v>
      </c>
      <c r="E361" s="118"/>
      <c r="F361" s="118" t="s">
        <v>357</v>
      </c>
      <c r="G361" s="118">
        <f t="shared" ref="G361:G376" si="24">LOOKUP(F361,$J$41:$J$121,$L$41:$L$121)</f>
        <v>0.98</v>
      </c>
      <c r="H361" s="15"/>
      <c r="I361" s="15"/>
      <c r="J361" s="123"/>
      <c r="K361" s="123"/>
      <c r="L361" s="123"/>
      <c r="M361" s="124"/>
      <c r="N361" s="121"/>
      <c r="O361" s="122"/>
      <c r="P361" s="122"/>
      <c r="Q361" s="121"/>
      <c r="R361" s="121"/>
      <c r="S361" s="121"/>
      <c r="T361" s="121"/>
      <c r="U361" s="121"/>
      <c r="V361" s="121"/>
      <c r="W361" s="121"/>
      <c r="X361" s="121"/>
      <c r="Y361" s="121"/>
      <c r="Z361" s="121"/>
      <c r="AA361" s="121"/>
      <c r="AB361" s="121"/>
      <c r="AC361" s="121"/>
      <c r="AD361" s="121"/>
      <c r="AE361" s="121"/>
      <c r="AF361" s="121"/>
      <c r="AG361" s="121"/>
      <c r="AH361" s="121"/>
      <c r="AI361" s="121"/>
      <c r="AJ361" s="121"/>
      <c r="AK361" s="121"/>
      <c r="AL361" s="121"/>
      <c r="AM361" s="121"/>
      <c r="AN361" s="121"/>
      <c r="AO361" s="121"/>
      <c r="AP361" s="121"/>
      <c r="AQ361" s="121"/>
      <c r="AR361" s="121"/>
      <c r="AS361" s="121"/>
      <c r="AT361" s="121"/>
      <c r="AU361" s="121"/>
      <c r="AV361" s="121"/>
      <c r="AW361" s="121"/>
      <c r="AX361" s="121"/>
    </row>
    <row r="362" spans="2:50" x14ac:dyDescent="0.2">
      <c r="B362" s="3"/>
      <c r="C362" s="3"/>
      <c r="D362" s="118" t="s">
        <v>358</v>
      </c>
      <c r="E362" s="118"/>
      <c r="F362" s="118" t="s">
        <v>397</v>
      </c>
      <c r="G362" s="118">
        <f t="shared" si="24"/>
        <v>1.1000000000000001</v>
      </c>
      <c r="H362" s="15"/>
      <c r="I362" s="15"/>
      <c r="J362" s="123"/>
      <c r="K362" s="123"/>
      <c r="L362" s="123"/>
      <c r="M362" s="124"/>
      <c r="N362" s="121"/>
      <c r="O362" s="122"/>
      <c r="P362" s="122"/>
      <c r="Q362" s="121"/>
      <c r="R362" s="121"/>
      <c r="S362" s="121"/>
      <c r="T362" s="121"/>
      <c r="U362" s="121"/>
      <c r="V362" s="121"/>
      <c r="W362" s="121"/>
      <c r="X362" s="121"/>
      <c r="Y362" s="121"/>
      <c r="Z362" s="121"/>
      <c r="AA362" s="121"/>
      <c r="AB362" s="121"/>
      <c r="AC362" s="121"/>
      <c r="AD362" s="121"/>
      <c r="AE362" s="121"/>
      <c r="AF362" s="121"/>
      <c r="AG362" s="121"/>
      <c r="AH362" s="121"/>
      <c r="AI362" s="121"/>
      <c r="AJ362" s="121"/>
      <c r="AK362" s="121"/>
      <c r="AL362" s="121"/>
      <c r="AM362" s="121"/>
      <c r="AN362" s="121"/>
      <c r="AO362" s="121"/>
      <c r="AP362" s="121"/>
      <c r="AQ362" s="121"/>
      <c r="AR362" s="121"/>
      <c r="AS362" s="121"/>
      <c r="AT362" s="121"/>
      <c r="AU362" s="121"/>
      <c r="AV362" s="121"/>
      <c r="AW362" s="121"/>
      <c r="AX362" s="121"/>
    </row>
    <row r="363" spans="2:50" x14ac:dyDescent="0.2">
      <c r="B363" s="3"/>
      <c r="C363" s="3"/>
      <c r="D363" s="118" t="s">
        <v>359</v>
      </c>
      <c r="E363" s="118"/>
      <c r="F363" s="118" t="s">
        <v>382</v>
      </c>
      <c r="G363" s="118">
        <f t="shared" si="24"/>
        <v>1.1299999999999999</v>
      </c>
      <c r="H363" s="15"/>
      <c r="I363" s="15"/>
      <c r="J363" s="123"/>
      <c r="K363" s="123"/>
      <c r="L363" s="123"/>
      <c r="M363" s="124"/>
      <c r="N363" s="121"/>
      <c r="O363" s="122"/>
      <c r="P363" s="122"/>
      <c r="Q363" s="121"/>
      <c r="R363" s="121"/>
      <c r="S363" s="121"/>
      <c r="T363" s="121"/>
      <c r="U363" s="121"/>
      <c r="V363" s="121"/>
      <c r="W363" s="121"/>
      <c r="X363" s="121"/>
      <c r="Y363" s="121"/>
      <c r="Z363" s="121"/>
      <c r="AA363" s="121"/>
      <c r="AB363" s="121"/>
      <c r="AC363" s="121"/>
      <c r="AD363" s="121"/>
      <c r="AE363" s="121"/>
      <c r="AF363" s="121"/>
      <c r="AG363" s="121"/>
      <c r="AH363" s="121"/>
      <c r="AI363" s="121"/>
      <c r="AJ363" s="121"/>
      <c r="AK363" s="121"/>
      <c r="AL363" s="121"/>
      <c r="AM363" s="121"/>
      <c r="AN363" s="121"/>
      <c r="AO363" s="121"/>
      <c r="AP363" s="121"/>
      <c r="AQ363" s="121"/>
      <c r="AR363" s="121"/>
      <c r="AS363" s="121"/>
      <c r="AT363" s="121"/>
      <c r="AU363" s="121"/>
      <c r="AV363" s="121"/>
      <c r="AW363" s="121"/>
      <c r="AX363" s="121"/>
    </row>
    <row r="364" spans="2:50" x14ac:dyDescent="0.2">
      <c r="B364" s="3"/>
      <c r="C364" s="3"/>
      <c r="D364" s="118" t="s">
        <v>360</v>
      </c>
      <c r="E364" s="118"/>
      <c r="F364" s="118" t="s">
        <v>436</v>
      </c>
      <c r="G364" s="118">
        <f t="shared" si="24"/>
        <v>1.02</v>
      </c>
      <c r="H364" s="15"/>
      <c r="I364" s="15"/>
      <c r="J364" s="123"/>
      <c r="K364" s="123"/>
      <c r="L364" s="123"/>
      <c r="M364" s="124"/>
      <c r="N364" s="121"/>
      <c r="O364" s="122"/>
      <c r="P364" s="122"/>
      <c r="Q364" s="121"/>
      <c r="R364" s="121"/>
      <c r="S364" s="121"/>
      <c r="T364" s="121"/>
      <c r="U364" s="121"/>
      <c r="V364" s="121"/>
      <c r="W364" s="121"/>
      <c r="X364" s="121"/>
      <c r="Y364" s="121"/>
      <c r="Z364" s="121"/>
      <c r="AA364" s="121"/>
      <c r="AB364" s="121"/>
      <c r="AC364" s="121"/>
      <c r="AD364" s="121"/>
      <c r="AE364" s="121"/>
      <c r="AF364" s="121"/>
      <c r="AG364" s="121"/>
      <c r="AH364" s="121"/>
      <c r="AI364" s="121"/>
      <c r="AJ364" s="121"/>
      <c r="AK364" s="121"/>
      <c r="AL364" s="121"/>
      <c r="AM364" s="121"/>
      <c r="AN364" s="121"/>
      <c r="AO364" s="121"/>
      <c r="AP364" s="121"/>
      <c r="AQ364" s="121"/>
      <c r="AR364" s="121"/>
      <c r="AS364" s="121"/>
      <c r="AT364" s="121"/>
      <c r="AU364" s="121"/>
      <c r="AV364" s="121"/>
      <c r="AW364" s="121"/>
      <c r="AX364" s="121"/>
    </row>
    <row r="365" spans="2:50" x14ac:dyDescent="0.2">
      <c r="B365" s="3"/>
      <c r="C365" s="3"/>
      <c r="D365" s="118" t="s">
        <v>361</v>
      </c>
      <c r="E365" s="118"/>
      <c r="F365" s="118" t="s">
        <v>449</v>
      </c>
      <c r="G365" s="118">
        <f t="shared" si="24"/>
        <v>1.19</v>
      </c>
      <c r="H365" s="15"/>
      <c r="I365" s="15"/>
      <c r="J365" s="123"/>
      <c r="K365" s="123"/>
      <c r="L365" s="123"/>
      <c r="M365" s="124"/>
      <c r="N365" s="121"/>
      <c r="O365" s="122"/>
      <c r="P365" s="122"/>
      <c r="Q365" s="121"/>
      <c r="R365" s="121"/>
      <c r="S365" s="121"/>
      <c r="T365" s="121"/>
      <c r="U365" s="121"/>
      <c r="V365" s="121"/>
      <c r="W365" s="121"/>
      <c r="X365" s="121"/>
      <c r="Y365" s="121"/>
      <c r="Z365" s="121"/>
      <c r="AA365" s="121"/>
      <c r="AB365" s="121"/>
      <c r="AC365" s="121"/>
      <c r="AD365" s="121"/>
      <c r="AE365" s="121"/>
      <c r="AF365" s="121"/>
      <c r="AG365" s="121"/>
      <c r="AH365" s="121"/>
      <c r="AI365" s="121"/>
      <c r="AJ365" s="121"/>
      <c r="AK365" s="121"/>
      <c r="AL365" s="121"/>
      <c r="AM365" s="121"/>
      <c r="AN365" s="121"/>
      <c r="AO365" s="121"/>
      <c r="AP365" s="121"/>
      <c r="AQ365" s="121"/>
      <c r="AR365" s="121"/>
      <c r="AS365" s="121"/>
      <c r="AT365" s="121"/>
      <c r="AU365" s="121"/>
      <c r="AV365" s="121"/>
      <c r="AW365" s="121"/>
      <c r="AX365" s="121"/>
    </row>
    <row r="366" spans="2:50" x14ac:dyDescent="0.2">
      <c r="B366" s="3"/>
      <c r="C366" s="3"/>
      <c r="D366" s="118" t="s">
        <v>362</v>
      </c>
      <c r="E366" s="118"/>
      <c r="F366" s="118" t="s">
        <v>382</v>
      </c>
      <c r="G366" s="118">
        <f t="shared" si="24"/>
        <v>1.1299999999999999</v>
      </c>
      <c r="H366" s="15"/>
      <c r="I366" s="15"/>
      <c r="J366" s="123"/>
      <c r="K366" s="123"/>
      <c r="L366" s="123"/>
      <c r="M366" s="124"/>
      <c r="N366" s="121"/>
      <c r="O366" s="122"/>
      <c r="P366" s="122"/>
      <c r="Q366" s="121"/>
      <c r="R366" s="121"/>
      <c r="S366" s="121"/>
      <c r="T366" s="121"/>
      <c r="U366" s="121"/>
      <c r="V366" s="121"/>
      <c r="W366" s="121"/>
      <c r="X366" s="121"/>
      <c r="Y366" s="121"/>
      <c r="Z366" s="121"/>
      <c r="AA366" s="121"/>
      <c r="AB366" s="121"/>
      <c r="AC366" s="121"/>
      <c r="AD366" s="121"/>
      <c r="AE366" s="121"/>
      <c r="AF366" s="121"/>
      <c r="AG366" s="121"/>
      <c r="AH366" s="121"/>
      <c r="AI366" s="121"/>
      <c r="AJ366" s="121"/>
      <c r="AK366" s="121"/>
      <c r="AL366" s="121"/>
      <c r="AM366" s="121"/>
      <c r="AN366" s="121"/>
      <c r="AO366" s="121"/>
      <c r="AP366" s="121"/>
      <c r="AQ366" s="121"/>
      <c r="AR366" s="121"/>
      <c r="AS366" s="121"/>
      <c r="AT366" s="121"/>
      <c r="AU366" s="121"/>
      <c r="AV366" s="121"/>
      <c r="AW366" s="121"/>
      <c r="AX366" s="121"/>
    </row>
    <row r="367" spans="2:50" x14ac:dyDescent="0.2">
      <c r="B367" s="3"/>
      <c r="C367" s="3"/>
      <c r="D367" s="118" t="s">
        <v>363</v>
      </c>
      <c r="E367" s="118"/>
      <c r="F367" s="118" t="s">
        <v>453</v>
      </c>
      <c r="G367" s="118">
        <f t="shared" si="24"/>
        <v>0.99</v>
      </c>
      <c r="H367" s="15"/>
      <c r="I367" s="15"/>
      <c r="J367" s="123"/>
      <c r="K367" s="123"/>
      <c r="L367" s="123"/>
      <c r="M367" s="124"/>
      <c r="N367" s="121"/>
      <c r="O367" s="122"/>
      <c r="P367" s="122"/>
      <c r="Q367" s="121"/>
      <c r="R367" s="121"/>
      <c r="S367" s="121"/>
      <c r="T367" s="121"/>
      <c r="U367" s="121"/>
      <c r="V367" s="121"/>
      <c r="W367" s="121"/>
      <c r="X367" s="121"/>
      <c r="Y367" s="121"/>
      <c r="Z367" s="121"/>
      <c r="AA367" s="121"/>
      <c r="AB367" s="121"/>
      <c r="AC367" s="121"/>
      <c r="AD367" s="121"/>
      <c r="AE367" s="121"/>
      <c r="AF367" s="121"/>
      <c r="AG367" s="121"/>
      <c r="AH367" s="121"/>
      <c r="AI367" s="121"/>
      <c r="AJ367" s="121"/>
      <c r="AK367" s="121"/>
      <c r="AL367" s="121"/>
      <c r="AM367" s="121"/>
      <c r="AN367" s="121"/>
      <c r="AO367" s="121"/>
      <c r="AP367" s="121"/>
      <c r="AQ367" s="121"/>
      <c r="AR367" s="121"/>
      <c r="AS367" s="121"/>
      <c r="AT367" s="121"/>
      <c r="AU367" s="121"/>
      <c r="AV367" s="121"/>
      <c r="AW367" s="121"/>
      <c r="AX367" s="121"/>
    </row>
    <row r="368" spans="2:50" x14ac:dyDescent="0.2">
      <c r="B368" s="3"/>
      <c r="C368" s="3"/>
      <c r="D368" s="118" t="s">
        <v>364</v>
      </c>
      <c r="E368" s="118"/>
      <c r="F368" s="120" t="s">
        <v>398</v>
      </c>
      <c r="G368" s="118">
        <f t="shared" si="24"/>
        <v>1</v>
      </c>
      <c r="H368" s="15"/>
      <c r="I368" s="15"/>
      <c r="J368" s="123"/>
      <c r="K368" s="123"/>
      <c r="L368" s="123"/>
      <c r="M368" s="124"/>
      <c r="N368" s="121"/>
      <c r="O368" s="122"/>
      <c r="P368" s="122"/>
      <c r="Q368" s="121"/>
      <c r="R368" s="121"/>
      <c r="S368" s="121"/>
      <c r="T368" s="121"/>
      <c r="U368" s="121"/>
      <c r="V368" s="121"/>
      <c r="W368" s="121"/>
      <c r="X368" s="121"/>
      <c r="Y368" s="121"/>
      <c r="Z368" s="121"/>
      <c r="AA368" s="121"/>
      <c r="AB368" s="121"/>
      <c r="AC368" s="121"/>
      <c r="AD368" s="121"/>
      <c r="AE368" s="121"/>
      <c r="AF368" s="121"/>
      <c r="AG368" s="121"/>
      <c r="AH368" s="121"/>
      <c r="AI368" s="121"/>
      <c r="AJ368" s="121"/>
      <c r="AK368" s="121"/>
      <c r="AL368" s="121"/>
      <c r="AM368" s="121"/>
      <c r="AN368" s="121"/>
      <c r="AO368" s="121"/>
      <c r="AP368" s="121"/>
      <c r="AQ368" s="121"/>
      <c r="AR368" s="121"/>
      <c r="AS368" s="121"/>
      <c r="AT368" s="121"/>
      <c r="AU368" s="121"/>
      <c r="AV368" s="121"/>
      <c r="AW368" s="121"/>
      <c r="AX368" s="121"/>
    </row>
    <row r="369" spans="2:50" x14ac:dyDescent="0.2">
      <c r="B369" s="3"/>
      <c r="C369" s="3"/>
      <c r="D369" s="118" t="s">
        <v>365</v>
      </c>
      <c r="E369" s="118"/>
      <c r="F369" s="118" t="s">
        <v>454</v>
      </c>
      <c r="G369" s="118">
        <f t="shared" si="24"/>
        <v>1.1299999999999999</v>
      </c>
      <c r="H369" s="15"/>
      <c r="I369" s="15"/>
      <c r="J369" s="123"/>
      <c r="K369" s="123"/>
      <c r="L369" s="123"/>
      <c r="M369" s="124"/>
      <c r="N369" s="121"/>
      <c r="O369" s="122"/>
      <c r="P369" s="122"/>
      <c r="Q369" s="121"/>
      <c r="R369" s="121"/>
      <c r="S369" s="121"/>
      <c r="T369" s="121"/>
      <c r="U369" s="121"/>
      <c r="V369" s="121"/>
      <c r="W369" s="121"/>
      <c r="X369" s="121"/>
      <c r="Y369" s="121"/>
      <c r="Z369" s="121"/>
      <c r="AA369" s="121"/>
      <c r="AB369" s="121"/>
      <c r="AC369" s="121"/>
      <c r="AD369" s="121"/>
      <c r="AE369" s="121"/>
      <c r="AF369" s="121"/>
      <c r="AG369" s="121"/>
      <c r="AH369" s="121"/>
      <c r="AI369" s="121"/>
      <c r="AJ369" s="121"/>
      <c r="AK369" s="121"/>
      <c r="AL369" s="121"/>
      <c r="AM369" s="121"/>
      <c r="AN369" s="121"/>
      <c r="AO369" s="121"/>
      <c r="AP369" s="121"/>
      <c r="AQ369" s="121"/>
      <c r="AR369" s="121"/>
      <c r="AS369" s="121"/>
      <c r="AT369" s="121"/>
      <c r="AU369" s="121"/>
      <c r="AV369" s="121"/>
      <c r="AW369" s="121"/>
      <c r="AX369" s="121"/>
    </row>
    <row r="370" spans="2:50" x14ac:dyDescent="0.2">
      <c r="B370" s="3"/>
      <c r="C370" s="3"/>
      <c r="D370" s="118" t="s">
        <v>366</v>
      </c>
      <c r="E370" s="118"/>
      <c r="F370" s="120" t="s">
        <v>398</v>
      </c>
      <c r="G370" s="118">
        <f t="shared" si="24"/>
        <v>1</v>
      </c>
      <c r="H370" s="15"/>
      <c r="I370" s="15"/>
      <c r="J370" s="123"/>
      <c r="K370" s="123"/>
      <c r="L370" s="123"/>
      <c r="M370" s="124"/>
      <c r="N370" s="121"/>
      <c r="O370" s="122"/>
      <c r="P370" s="122"/>
      <c r="Q370" s="121"/>
      <c r="R370" s="121"/>
      <c r="S370" s="121"/>
      <c r="T370" s="121"/>
      <c r="U370" s="121"/>
      <c r="V370" s="121"/>
      <c r="W370" s="121"/>
      <c r="X370" s="121"/>
      <c r="Y370" s="121"/>
      <c r="Z370" s="121"/>
      <c r="AA370" s="121"/>
      <c r="AB370" s="121"/>
      <c r="AC370" s="121"/>
      <c r="AD370" s="121"/>
      <c r="AE370" s="121"/>
      <c r="AF370" s="121"/>
      <c r="AG370" s="121"/>
      <c r="AH370" s="121"/>
      <c r="AI370" s="121"/>
      <c r="AJ370" s="121"/>
      <c r="AK370" s="121"/>
      <c r="AL370" s="121"/>
      <c r="AM370" s="121"/>
      <c r="AN370" s="121"/>
      <c r="AO370" s="121"/>
      <c r="AP370" s="121"/>
      <c r="AQ370" s="121"/>
      <c r="AR370" s="121"/>
      <c r="AS370" s="121"/>
      <c r="AT370" s="121"/>
      <c r="AU370" s="121"/>
      <c r="AV370" s="121"/>
      <c r="AW370" s="121"/>
      <c r="AX370" s="121"/>
    </row>
    <row r="371" spans="2:50" x14ac:dyDescent="0.2">
      <c r="B371" s="3"/>
      <c r="C371" s="3"/>
      <c r="D371" s="118" t="s">
        <v>367</v>
      </c>
      <c r="E371" s="118"/>
      <c r="F371" s="118" t="s">
        <v>383</v>
      </c>
      <c r="G371" s="118">
        <f t="shared" si="24"/>
        <v>1.1100000000000001</v>
      </c>
      <c r="H371" s="15"/>
      <c r="I371" s="15"/>
      <c r="J371" s="123"/>
      <c r="K371" s="123"/>
      <c r="L371" s="123"/>
      <c r="M371" s="124"/>
      <c r="N371" s="121"/>
      <c r="O371" s="122"/>
      <c r="P371" s="122"/>
      <c r="Q371" s="121"/>
      <c r="R371" s="121"/>
      <c r="S371" s="121"/>
      <c r="T371" s="121"/>
      <c r="U371" s="121"/>
      <c r="V371" s="121"/>
      <c r="W371" s="121"/>
      <c r="X371" s="121"/>
      <c r="Y371" s="121"/>
      <c r="Z371" s="121"/>
      <c r="AA371" s="121"/>
      <c r="AB371" s="121"/>
      <c r="AC371" s="121"/>
      <c r="AD371" s="121"/>
      <c r="AE371" s="121"/>
      <c r="AF371" s="121"/>
      <c r="AG371" s="121"/>
      <c r="AH371" s="121"/>
      <c r="AI371" s="121"/>
      <c r="AJ371" s="121"/>
      <c r="AK371" s="121"/>
      <c r="AL371" s="121"/>
      <c r="AM371" s="121"/>
      <c r="AN371" s="121"/>
      <c r="AO371" s="121"/>
      <c r="AP371" s="121"/>
      <c r="AQ371" s="121"/>
      <c r="AR371" s="121"/>
      <c r="AS371" s="121"/>
      <c r="AT371" s="121"/>
      <c r="AU371" s="121"/>
      <c r="AV371" s="121"/>
      <c r="AW371" s="121"/>
      <c r="AX371" s="121"/>
    </row>
    <row r="372" spans="2:50" x14ac:dyDescent="0.2">
      <c r="B372" s="3"/>
      <c r="C372" s="3"/>
      <c r="D372" s="118" t="s">
        <v>368</v>
      </c>
      <c r="E372" s="118"/>
      <c r="F372" s="118" t="s">
        <v>402</v>
      </c>
      <c r="G372" s="118">
        <f t="shared" si="24"/>
        <v>1.02</v>
      </c>
      <c r="H372" s="15"/>
      <c r="I372" s="15"/>
      <c r="J372" s="123"/>
      <c r="K372" s="123"/>
      <c r="L372" s="123"/>
      <c r="M372" s="124"/>
      <c r="N372" s="121"/>
      <c r="O372" s="122"/>
      <c r="P372" s="122"/>
      <c r="Q372" s="121"/>
      <c r="R372" s="121"/>
      <c r="S372" s="121"/>
      <c r="T372" s="121"/>
      <c r="U372" s="121"/>
      <c r="V372" s="121"/>
      <c r="W372" s="121"/>
      <c r="X372" s="121"/>
      <c r="Y372" s="121"/>
      <c r="Z372" s="121"/>
      <c r="AA372" s="121"/>
      <c r="AB372" s="121"/>
      <c r="AC372" s="121"/>
      <c r="AD372" s="121"/>
      <c r="AE372" s="121"/>
      <c r="AF372" s="121"/>
      <c r="AG372" s="121"/>
      <c r="AH372" s="121"/>
      <c r="AI372" s="121"/>
      <c r="AJ372" s="121"/>
      <c r="AK372" s="121"/>
      <c r="AL372" s="121"/>
      <c r="AM372" s="121"/>
      <c r="AN372" s="121"/>
      <c r="AO372" s="121"/>
      <c r="AP372" s="121"/>
      <c r="AQ372" s="121"/>
      <c r="AR372" s="121"/>
      <c r="AS372" s="121"/>
      <c r="AT372" s="121"/>
      <c r="AU372" s="121"/>
      <c r="AV372" s="121"/>
      <c r="AW372" s="121"/>
      <c r="AX372" s="121"/>
    </row>
    <row r="373" spans="2:50" x14ac:dyDescent="0.2">
      <c r="B373" s="3"/>
      <c r="C373" s="3"/>
      <c r="D373" s="118" t="s">
        <v>369</v>
      </c>
      <c r="E373" s="118"/>
      <c r="F373" s="120" t="s">
        <v>398</v>
      </c>
      <c r="G373" s="118">
        <f t="shared" si="24"/>
        <v>1</v>
      </c>
      <c r="H373" s="15"/>
      <c r="I373" s="15"/>
      <c r="J373" s="123"/>
      <c r="K373" s="123"/>
      <c r="L373" s="123"/>
      <c r="M373" s="124"/>
      <c r="N373" s="121"/>
      <c r="O373" s="122"/>
      <c r="P373" s="122"/>
      <c r="Q373" s="121"/>
      <c r="R373" s="121"/>
      <c r="S373" s="121"/>
      <c r="T373" s="121"/>
      <c r="U373" s="121"/>
      <c r="V373" s="121"/>
      <c r="W373" s="121"/>
      <c r="X373" s="121"/>
      <c r="Y373" s="121"/>
      <c r="Z373" s="121"/>
      <c r="AA373" s="121"/>
      <c r="AB373" s="121"/>
      <c r="AC373" s="121"/>
      <c r="AD373" s="121"/>
      <c r="AE373" s="121"/>
      <c r="AF373" s="121"/>
      <c r="AG373" s="121"/>
      <c r="AH373" s="121"/>
      <c r="AI373" s="121"/>
      <c r="AJ373" s="121"/>
      <c r="AK373" s="121"/>
      <c r="AL373" s="121"/>
      <c r="AM373" s="121"/>
      <c r="AN373" s="121"/>
      <c r="AO373" s="121"/>
      <c r="AP373" s="121"/>
      <c r="AQ373" s="121"/>
      <c r="AR373" s="121"/>
      <c r="AS373" s="121"/>
      <c r="AT373" s="121"/>
      <c r="AU373" s="121"/>
      <c r="AV373" s="121"/>
      <c r="AW373" s="121"/>
      <c r="AX373" s="121"/>
    </row>
    <row r="374" spans="2:50" x14ac:dyDescent="0.2">
      <c r="B374" s="3"/>
      <c r="C374" s="3"/>
      <c r="D374" s="118" t="s">
        <v>370</v>
      </c>
      <c r="E374" s="118"/>
      <c r="F374" s="118" t="s">
        <v>439</v>
      </c>
      <c r="G374" s="118">
        <f t="shared" si="24"/>
        <v>0.94</v>
      </c>
      <c r="H374" s="15"/>
      <c r="I374" s="15"/>
      <c r="J374" s="123"/>
      <c r="K374" s="123"/>
      <c r="L374" s="123"/>
      <c r="M374" s="124"/>
      <c r="N374" s="121"/>
      <c r="O374" s="122"/>
      <c r="P374" s="122"/>
      <c r="Q374" s="121"/>
      <c r="R374" s="121"/>
      <c r="S374" s="121"/>
      <c r="T374" s="121"/>
      <c r="U374" s="121"/>
      <c r="V374" s="121"/>
      <c r="W374" s="121"/>
      <c r="X374" s="121"/>
      <c r="Y374" s="121"/>
      <c r="Z374" s="121"/>
      <c r="AA374" s="121"/>
      <c r="AB374" s="121"/>
      <c r="AC374" s="121"/>
      <c r="AD374" s="121"/>
      <c r="AE374" s="121"/>
      <c r="AF374" s="121"/>
      <c r="AG374" s="121"/>
      <c r="AH374" s="121"/>
      <c r="AI374" s="121"/>
      <c r="AJ374" s="121"/>
      <c r="AK374" s="121"/>
      <c r="AL374" s="121"/>
      <c r="AM374" s="121"/>
      <c r="AN374" s="121"/>
      <c r="AO374" s="121"/>
      <c r="AP374" s="121"/>
      <c r="AQ374" s="121"/>
      <c r="AR374" s="121"/>
      <c r="AS374" s="121"/>
      <c r="AT374" s="121"/>
      <c r="AU374" s="121"/>
      <c r="AV374" s="121"/>
      <c r="AW374" s="121"/>
      <c r="AX374" s="121"/>
    </row>
    <row r="375" spans="2:50" x14ac:dyDescent="0.2">
      <c r="B375" s="3"/>
      <c r="C375" s="3"/>
      <c r="D375" s="118" t="s">
        <v>371</v>
      </c>
      <c r="E375" s="118"/>
      <c r="F375" s="118" t="s">
        <v>439</v>
      </c>
      <c r="G375" s="118">
        <f t="shared" si="24"/>
        <v>0.94</v>
      </c>
      <c r="H375" s="15"/>
      <c r="I375" s="15"/>
      <c r="J375" s="123"/>
      <c r="K375" s="123"/>
      <c r="L375" s="123"/>
      <c r="M375" s="124"/>
      <c r="N375" s="121"/>
      <c r="O375" s="122"/>
      <c r="P375" s="122"/>
      <c r="Q375" s="121"/>
      <c r="R375" s="121"/>
      <c r="S375" s="121"/>
      <c r="T375" s="121"/>
      <c r="U375" s="121"/>
      <c r="V375" s="121"/>
      <c r="W375" s="121"/>
      <c r="X375" s="121"/>
      <c r="Y375" s="121"/>
      <c r="Z375" s="121"/>
      <c r="AA375" s="121"/>
      <c r="AB375" s="121"/>
      <c r="AC375" s="121"/>
      <c r="AD375" s="121"/>
      <c r="AE375" s="121"/>
      <c r="AF375" s="121"/>
      <c r="AG375" s="121"/>
      <c r="AH375" s="121"/>
      <c r="AI375" s="121"/>
      <c r="AJ375" s="121"/>
      <c r="AK375" s="121"/>
      <c r="AL375" s="121"/>
      <c r="AM375" s="121"/>
      <c r="AN375" s="121"/>
      <c r="AO375" s="121"/>
      <c r="AP375" s="121"/>
      <c r="AQ375" s="121"/>
      <c r="AR375" s="121"/>
      <c r="AS375" s="121"/>
      <c r="AT375" s="121"/>
      <c r="AU375" s="121"/>
      <c r="AV375" s="121"/>
      <c r="AW375" s="121"/>
      <c r="AX375" s="121"/>
    </row>
    <row r="376" spans="2:50" x14ac:dyDescent="0.2">
      <c r="B376" s="3"/>
      <c r="C376" s="3"/>
      <c r="D376" s="118" t="s">
        <v>472</v>
      </c>
      <c r="E376" s="118"/>
      <c r="F376" s="118"/>
      <c r="G376" s="118" t="e">
        <f t="shared" si="24"/>
        <v>#N/A</v>
      </c>
      <c r="H376" s="15"/>
      <c r="I376" s="15"/>
      <c r="J376" s="123"/>
      <c r="K376" s="123"/>
      <c r="L376" s="123"/>
      <c r="M376" s="124"/>
      <c r="N376" s="121"/>
      <c r="O376" s="122"/>
      <c r="P376" s="122"/>
      <c r="Q376" s="121"/>
      <c r="R376" s="121"/>
      <c r="S376" s="121"/>
      <c r="T376" s="121"/>
      <c r="U376" s="121"/>
      <c r="V376" s="121"/>
      <c r="W376" s="121"/>
      <c r="X376" s="121"/>
      <c r="Y376" s="121"/>
      <c r="Z376" s="121"/>
      <c r="AA376" s="121"/>
      <c r="AB376" s="121"/>
      <c r="AC376" s="121"/>
      <c r="AD376" s="121"/>
      <c r="AE376" s="121"/>
      <c r="AF376" s="121"/>
      <c r="AG376" s="121"/>
      <c r="AH376" s="121"/>
      <c r="AI376" s="121"/>
      <c r="AJ376" s="121"/>
      <c r="AK376" s="121"/>
      <c r="AL376" s="121"/>
      <c r="AM376" s="121"/>
      <c r="AN376" s="121"/>
      <c r="AO376" s="121"/>
      <c r="AP376" s="121"/>
      <c r="AQ376" s="121"/>
      <c r="AR376" s="121"/>
      <c r="AS376" s="121"/>
      <c r="AT376" s="121"/>
      <c r="AU376" s="121"/>
      <c r="AV376" s="121"/>
      <c r="AW376" s="121"/>
      <c r="AX376" s="121"/>
    </row>
    <row r="377" spans="2:50" x14ac:dyDescent="0.2">
      <c r="B377" s="3"/>
      <c r="C377" s="3"/>
      <c r="D377" s="3"/>
      <c r="E377" s="3"/>
      <c r="F377" s="3"/>
      <c r="G377" s="3"/>
      <c r="H377" s="3"/>
      <c r="I377" s="3"/>
      <c r="J377" s="125"/>
      <c r="K377" s="125"/>
      <c r="L377" s="125"/>
      <c r="M377" s="124"/>
      <c r="N377" s="121"/>
      <c r="O377" s="122"/>
      <c r="P377" s="122"/>
      <c r="Q377" s="121"/>
      <c r="R377" s="121"/>
      <c r="S377" s="121"/>
      <c r="T377" s="121"/>
      <c r="U377" s="121"/>
      <c r="V377" s="121"/>
      <c r="W377" s="121"/>
      <c r="X377" s="121"/>
      <c r="Y377" s="121"/>
      <c r="Z377" s="121"/>
      <c r="AA377" s="121"/>
      <c r="AB377" s="121"/>
      <c r="AC377" s="121"/>
      <c r="AD377" s="121"/>
      <c r="AE377" s="121"/>
      <c r="AF377" s="121"/>
      <c r="AG377" s="121"/>
      <c r="AH377" s="121"/>
      <c r="AI377" s="121"/>
      <c r="AJ377" s="121"/>
      <c r="AK377" s="121"/>
      <c r="AL377" s="121"/>
      <c r="AM377" s="121"/>
      <c r="AN377" s="121"/>
      <c r="AO377" s="121"/>
      <c r="AP377" s="121"/>
      <c r="AQ377" s="121"/>
      <c r="AR377" s="121"/>
      <c r="AS377" s="121"/>
      <c r="AT377" s="121"/>
      <c r="AU377" s="121"/>
      <c r="AV377" s="121"/>
      <c r="AW377" s="121"/>
      <c r="AX377" s="121"/>
    </row>
    <row r="378" spans="2:50" x14ac:dyDescent="0.2">
      <c r="B378" s="3"/>
      <c r="C378" s="3"/>
      <c r="D378" s="3"/>
      <c r="E378" s="3"/>
      <c r="F378" s="3"/>
      <c r="G378" s="3"/>
      <c r="H378" s="3"/>
      <c r="I378" s="3"/>
      <c r="J378" s="121"/>
      <c r="K378" s="121"/>
      <c r="L378" s="121"/>
      <c r="M378" s="122"/>
      <c r="N378" s="121"/>
      <c r="O378" s="122"/>
      <c r="P378" s="122"/>
      <c r="Q378" s="121"/>
      <c r="R378" s="121"/>
      <c r="S378" s="121"/>
      <c r="T378" s="121"/>
      <c r="U378" s="121"/>
      <c r="V378" s="121"/>
      <c r="W378" s="121"/>
      <c r="X378" s="121"/>
      <c r="Y378" s="121"/>
      <c r="Z378" s="121"/>
      <c r="AA378" s="121"/>
      <c r="AB378" s="121"/>
      <c r="AC378" s="121"/>
      <c r="AD378" s="121"/>
      <c r="AE378" s="121"/>
      <c r="AF378" s="121"/>
      <c r="AG378" s="121"/>
      <c r="AH378" s="121"/>
      <c r="AI378" s="121"/>
      <c r="AJ378" s="121"/>
      <c r="AK378" s="121"/>
      <c r="AL378" s="121"/>
      <c r="AM378" s="121"/>
      <c r="AN378" s="121"/>
      <c r="AO378" s="121"/>
      <c r="AP378" s="121"/>
      <c r="AQ378" s="121"/>
      <c r="AR378" s="121"/>
      <c r="AS378" s="121"/>
      <c r="AT378" s="121"/>
      <c r="AU378" s="121"/>
      <c r="AV378" s="121"/>
      <c r="AW378" s="121"/>
      <c r="AX378" s="121"/>
    </row>
    <row r="379" spans="2:50" s="121" customFormat="1" x14ac:dyDescent="0.2">
      <c r="M379" s="122"/>
      <c r="O379" s="122"/>
      <c r="P379" s="122"/>
    </row>
    <row r="380" spans="2:50" s="121" customFormat="1" x14ac:dyDescent="0.2">
      <c r="M380" s="122"/>
      <c r="O380" s="122"/>
      <c r="P380" s="122"/>
    </row>
    <row r="381" spans="2:50" s="121" customFormat="1" x14ac:dyDescent="0.2">
      <c r="M381" s="122"/>
      <c r="O381" s="122"/>
      <c r="P381" s="122"/>
    </row>
    <row r="382" spans="2:50" s="121" customFormat="1" x14ac:dyDescent="0.2">
      <c r="M382" s="122"/>
      <c r="O382" s="122"/>
      <c r="P382" s="122"/>
    </row>
    <row r="383" spans="2:50" s="121" customFormat="1" x14ac:dyDescent="0.2">
      <c r="M383" s="122"/>
      <c r="O383" s="122"/>
      <c r="P383" s="122"/>
    </row>
    <row r="384" spans="2:50" s="121" customFormat="1" x14ac:dyDescent="0.2">
      <c r="M384" s="122"/>
      <c r="O384" s="122"/>
      <c r="P384" s="122"/>
    </row>
    <row r="385" spans="13:16" s="121" customFormat="1" x14ac:dyDescent="0.2">
      <c r="M385" s="122"/>
      <c r="O385" s="122"/>
      <c r="P385" s="122"/>
    </row>
    <row r="386" spans="13:16" s="121" customFormat="1" x14ac:dyDescent="0.2">
      <c r="M386" s="122"/>
      <c r="O386" s="122"/>
      <c r="P386" s="122"/>
    </row>
    <row r="387" spans="13:16" s="121" customFormat="1" x14ac:dyDescent="0.2">
      <c r="M387" s="122"/>
      <c r="O387" s="122"/>
      <c r="P387" s="122"/>
    </row>
    <row r="388" spans="13:16" s="121" customFormat="1" x14ac:dyDescent="0.2">
      <c r="M388" s="122"/>
      <c r="O388" s="122"/>
      <c r="P388" s="122"/>
    </row>
    <row r="389" spans="13:16" s="121" customFormat="1" x14ac:dyDescent="0.2">
      <c r="M389" s="122"/>
      <c r="O389" s="122"/>
      <c r="P389" s="122"/>
    </row>
    <row r="390" spans="13:16" s="121" customFormat="1" x14ac:dyDescent="0.2">
      <c r="M390" s="122"/>
      <c r="O390" s="122"/>
      <c r="P390" s="122"/>
    </row>
    <row r="391" spans="13:16" s="121" customFormat="1" x14ac:dyDescent="0.2">
      <c r="M391" s="122"/>
      <c r="O391" s="122"/>
      <c r="P391" s="122"/>
    </row>
    <row r="392" spans="13:16" s="121" customFormat="1" x14ac:dyDescent="0.2">
      <c r="M392" s="122"/>
      <c r="O392" s="122"/>
      <c r="P392" s="122"/>
    </row>
    <row r="393" spans="13:16" s="121" customFormat="1" x14ac:dyDescent="0.2">
      <c r="M393" s="122"/>
      <c r="O393" s="122"/>
      <c r="P393" s="122"/>
    </row>
    <row r="394" spans="13:16" s="121" customFormat="1" x14ac:dyDescent="0.2">
      <c r="M394" s="122"/>
      <c r="O394" s="122"/>
      <c r="P394" s="122"/>
    </row>
    <row r="395" spans="13:16" s="121" customFormat="1" x14ac:dyDescent="0.2">
      <c r="M395" s="122"/>
      <c r="O395" s="122"/>
      <c r="P395" s="122"/>
    </row>
    <row r="396" spans="13:16" s="121" customFormat="1" x14ac:dyDescent="0.2">
      <c r="M396" s="122"/>
      <c r="O396" s="122"/>
      <c r="P396" s="122"/>
    </row>
    <row r="397" spans="13:16" s="121" customFormat="1" x14ac:dyDescent="0.2">
      <c r="M397" s="122"/>
      <c r="O397" s="122"/>
      <c r="P397" s="122"/>
    </row>
    <row r="398" spans="13:16" s="121" customFormat="1" x14ac:dyDescent="0.2">
      <c r="M398" s="122"/>
      <c r="O398" s="122"/>
      <c r="P398" s="122"/>
    </row>
    <row r="399" spans="13:16" s="121" customFormat="1" x14ac:dyDescent="0.2">
      <c r="M399" s="122"/>
      <c r="O399" s="122"/>
      <c r="P399" s="122"/>
    </row>
    <row r="400" spans="13:16" s="121" customFormat="1" x14ac:dyDescent="0.2">
      <c r="M400" s="122"/>
      <c r="O400" s="122"/>
      <c r="P400" s="122"/>
    </row>
    <row r="401" spans="13:16" s="121" customFormat="1" x14ac:dyDescent="0.2">
      <c r="M401" s="122"/>
      <c r="O401" s="122"/>
      <c r="P401" s="122"/>
    </row>
    <row r="402" spans="13:16" s="121" customFormat="1" x14ac:dyDescent="0.2">
      <c r="M402" s="122"/>
      <c r="O402" s="122"/>
      <c r="P402" s="122"/>
    </row>
    <row r="403" spans="13:16" s="121" customFormat="1" x14ac:dyDescent="0.2">
      <c r="M403" s="122"/>
      <c r="O403" s="122"/>
      <c r="P403" s="122"/>
    </row>
    <row r="404" spans="13:16" s="121" customFormat="1" x14ac:dyDescent="0.2">
      <c r="M404" s="122"/>
      <c r="O404" s="122"/>
      <c r="P404" s="122"/>
    </row>
    <row r="405" spans="13:16" s="121" customFormat="1" x14ac:dyDescent="0.2">
      <c r="M405" s="122"/>
      <c r="O405" s="122"/>
      <c r="P405" s="122"/>
    </row>
    <row r="406" spans="13:16" s="121" customFormat="1" x14ac:dyDescent="0.2">
      <c r="M406" s="122"/>
      <c r="O406" s="122"/>
      <c r="P406" s="122"/>
    </row>
    <row r="407" spans="13:16" s="121" customFormat="1" x14ac:dyDescent="0.2">
      <c r="M407" s="122"/>
      <c r="O407" s="122"/>
      <c r="P407" s="122"/>
    </row>
    <row r="408" spans="13:16" s="121" customFormat="1" x14ac:dyDescent="0.2">
      <c r="M408" s="122"/>
      <c r="O408" s="122"/>
      <c r="P408" s="122"/>
    </row>
    <row r="409" spans="13:16" s="121" customFormat="1" x14ac:dyDescent="0.2">
      <c r="M409" s="122"/>
      <c r="O409" s="122"/>
      <c r="P409" s="122"/>
    </row>
    <row r="410" spans="13:16" s="121" customFormat="1" x14ac:dyDescent="0.2">
      <c r="M410" s="122"/>
      <c r="O410" s="122"/>
      <c r="P410" s="122"/>
    </row>
    <row r="411" spans="13:16" s="121" customFormat="1" x14ac:dyDescent="0.2">
      <c r="M411" s="122"/>
      <c r="O411" s="122"/>
      <c r="P411" s="122"/>
    </row>
    <row r="412" spans="13:16" s="121" customFormat="1" x14ac:dyDescent="0.2">
      <c r="M412" s="122"/>
      <c r="O412" s="122"/>
      <c r="P412" s="122"/>
    </row>
    <row r="413" spans="13:16" s="121" customFormat="1" x14ac:dyDescent="0.2">
      <c r="M413" s="122"/>
      <c r="O413" s="122"/>
      <c r="P413" s="122"/>
    </row>
    <row r="414" spans="13:16" s="121" customFormat="1" x14ac:dyDescent="0.2">
      <c r="M414" s="122"/>
      <c r="O414" s="122"/>
      <c r="P414" s="122"/>
    </row>
    <row r="415" spans="13:16" s="121" customFormat="1" x14ac:dyDescent="0.2">
      <c r="M415" s="122"/>
      <c r="O415" s="122"/>
      <c r="P415" s="122"/>
    </row>
    <row r="416" spans="13:16" s="121" customFormat="1" x14ac:dyDescent="0.2">
      <c r="M416" s="122"/>
      <c r="O416" s="122"/>
      <c r="P416" s="122"/>
    </row>
    <row r="417" spans="13:16" s="121" customFormat="1" x14ac:dyDescent="0.2">
      <c r="M417" s="122"/>
      <c r="O417" s="122"/>
      <c r="P417" s="122"/>
    </row>
    <row r="418" spans="13:16" s="121" customFormat="1" x14ac:dyDescent="0.2">
      <c r="M418" s="122"/>
      <c r="O418" s="122"/>
      <c r="P418" s="122"/>
    </row>
    <row r="419" spans="13:16" s="121" customFormat="1" x14ac:dyDescent="0.2">
      <c r="M419" s="122"/>
      <c r="O419" s="122"/>
      <c r="P419" s="122"/>
    </row>
    <row r="420" spans="13:16" s="121" customFormat="1" x14ac:dyDescent="0.2">
      <c r="M420" s="122"/>
      <c r="O420" s="122"/>
      <c r="P420" s="122"/>
    </row>
    <row r="421" spans="13:16" s="121" customFormat="1" x14ac:dyDescent="0.2">
      <c r="M421" s="122"/>
      <c r="O421" s="122"/>
      <c r="P421" s="122"/>
    </row>
    <row r="422" spans="13:16" s="121" customFormat="1" x14ac:dyDescent="0.2">
      <c r="M422" s="122"/>
      <c r="O422" s="122"/>
      <c r="P422" s="122"/>
    </row>
    <row r="423" spans="13:16" s="121" customFormat="1" x14ac:dyDescent="0.2">
      <c r="M423" s="122"/>
      <c r="O423" s="122"/>
      <c r="P423" s="122"/>
    </row>
    <row r="424" spans="13:16" s="121" customFormat="1" x14ac:dyDescent="0.2">
      <c r="M424" s="122"/>
      <c r="O424" s="122"/>
      <c r="P424" s="122"/>
    </row>
    <row r="425" spans="13:16" s="121" customFormat="1" x14ac:dyDescent="0.2">
      <c r="M425" s="122"/>
      <c r="O425" s="122"/>
      <c r="P425" s="122"/>
    </row>
    <row r="426" spans="13:16" s="121" customFormat="1" x14ac:dyDescent="0.2">
      <c r="M426" s="122"/>
      <c r="O426" s="122"/>
      <c r="P426" s="122"/>
    </row>
    <row r="427" spans="13:16" s="121" customFormat="1" x14ac:dyDescent="0.2">
      <c r="M427" s="122"/>
      <c r="O427" s="122"/>
      <c r="P427" s="122"/>
    </row>
    <row r="428" spans="13:16" s="121" customFormat="1" x14ac:dyDescent="0.2">
      <c r="M428" s="122"/>
      <c r="O428" s="122"/>
      <c r="P428" s="122"/>
    </row>
    <row r="429" spans="13:16" s="121" customFormat="1" x14ac:dyDescent="0.2">
      <c r="M429" s="122"/>
      <c r="O429" s="122"/>
      <c r="P429" s="122"/>
    </row>
    <row r="430" spans="13:16" s="121" customFormat="1" x14ac:dyDescent="0.2">
      <c r="M430" s="122"/>
      <c r="O430" s="122"/>
      <c r="P430" s="122"/>
    </row>
  </sheetData>
  <sheetProtection algorithmName="SHA-512" hashValue="Xnvg0c5YHVLqTaHJgi2ruRO9HrxqZ9j042hNH75R0/5xGmy6zvgla4GqUSUCL0nGiWFiGcvUxPmRIZLeSuZHvA==" saltValue="TM6A41+MrV78RrH+3aw0jQ==" spinCount="100000" sheet="1" objects="1" scenarios="1"/>
  <mergeCells count="9">
    <mergeCell ref="C3:Y3"/>
    <mergeCell ref="T36:Y36"/>
    <mergeCell ref="W5:Y5"/>
    <mergeCell ref="T35:Y35"/>
    <mergeCell ref="T34:Y34"/>
    <mergeCell ref="F5:G5"/>
    <mergeCell ref="I5:J5"/>
    <mergeCell ref="L5:O5"/>
    <mergeCell ref="T5:U5"/>
  </mergeCells>
  <dataValidations count="1">
    <dataValidation type="list" allowBlank="1" showInputMessage="1" showErrorMessage="1" sqref="F256:F264 F40:F202 F204:F254 F266:F367 F369 F371:F372 F374:F376">
      <formula1>$J$41:$J$121</formula1>
    </dataValidation>
  </dataValidations>
  <hyperlinks>
    <hyperlink ref="T34" r:id="rId1" display="costs SE Facilities Costs Second Quarter 2016 "/>
    <hyperlink ref="T35" r:id="rId2" display="Lifecycle costs source: SE Life Cycle Costs Natural Turf Pitches and Artificial Surfaces April 2012"/>
  </hyperlinks>
  <pageMargins left="0.70866141732283472" right="0.70866141732283472" top="0.74803149606299213" bottom="0.74803149606299213" header="0.31496062992125984" footer="0.31496062992125984"/>
  <pageSetup paperSize="9" scale="50" fitToHeight="0" orientation="landscape" r:id="rId3"/>
  <rowBreaks count="5" manualBreakCount="5">
    <brk id="36" min="1" max="33" man="1"/>
    <brk id="115" min="1" max="33" man="1"/>
    <brk id="195" min="1" max="33" man="1"/>
    <brk id="275" min="1" max="33" man="1"/>
    <brk id="355" min="1"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F12" sqref="F12"/>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271CBBA997309243945E842E281DC7A9000EAE5BC634416F4E90907FD2C0784863" ma:contentTypeVersion="4" ma:contentTypeDescription="New Excel Spreadsheet" ma:contentTypeScope="" ma:versionID="a7887453cec036893a54d71829371c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AFB6D-6EB9-4949-B8BB-630A479F12B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9B7D48AF-2449-4C7B-9EB4-DBB638DBD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DC46F25-C13F-4A2B-8719-FB7E199507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Calculator</vt:lpstr>
      <vt:lpstr>PPS Data</vt:lpstr>
      <vt:lpstr>Workings Explained</vt:lpstr>
      <vt:lpstr>Workings</vt:lpstr>
      <vt:lpstr>Priorities</vt:lpstr>
      <vt:lpstr>Calculator!Print_Area</vt:lpstr>
      <vt:lpstr>Introduction!Print_Area</vt:lpstr>
      <vt:lpstr>'PPS Data'!Print_Area</vt:lpstr>
      <vt:lpstr>Workings!Print_Area</vt:lpstr>
      <vt:lpstr>'Workings Explained'!Print_Area</vt:lpstr>
    </vt:vector>
  </TitlesOfParts>
  <Company>Sport England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Feetam</dc:creator>
  <cp:lastModifiedBy>Rebecca Slinn</cp:lastModifiedBy>
  <cp:lastPrinted>2016-05-12T15:17:03Z</cp:lastPrinted>
  <dcterms:created xsi:type="dcterms:W3CDTF">2016-01-25T10:24:03Z</dcterms:created>
  <dcterms:modified xsi:type="dcterms:W3CDTF">2018-08-24T09:12:30Z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0x010100271CBBA997309243945E842E281DC7A9000EAE5BC634416F4E90907FD2C0784863</vt:lpwstr>
  </property>
</Properties>
</file>