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rformance (Working Folder)\Performance Monitoring\202223\Quarter 2\Working Folder\4 CABINET\"/>
    </mc:Choice>
  </mc:AlternateContent>
  <bookViews>
    <workbookView xWindow="0" yWindow="0" windowWidth="23040" windowHeight="8616"/>
  </bookViews>
  <sheets>
    <sheet name="1. All Data" sheetId="1" r:id="rId1"/>
    <sheet name="Q1 Summary" sheetId="9" state="hidden" r:id="rId2"/>
    <sheet name="Q2 Summary" sheetId="14" r:id="rId3"/>
    <sheet name="Q3 Summary" sheetId="15" state="hidden" r:id="rId4"/>
    <sheet name="Q4 Summary" sheetId="16" state="hidden" r:id="rId5"/>
    <sheet name="2a. % By Priority" sheetId="5" r:id="rId6"/>
    <sheet name="2b. Charts by Priority" sheetId="6" r:id="rId7"/>
    <sheet name="3a. % by Portfolio" sheetId="7" r:id="rId8"/>
    <sheet name="3b. Charts by Portfolio" sheetId="8" r:id="rId9"/>
    <sheet name="4. Status Tracking" sheetId="10" state="hidden" r:id="rId10"/>
    <sheet name="Custom Pivot" sheetId="17" r:id="rId11"/>
  </sheets>
  <definedNames>
    <definedName name="_xlnm._FilterDatabase" localSheetId="0" hidden="1">'1. All Data'!$A$2:$AE$131</definedName>
    <definedName name="_Toc382250483" localSheetId="0">'1. All Data'!$B$73</definedName>
    <definedName name="OLE_LINK3" localSheetId="0">'1. All Data'!$D$39</definedName>
    <definedName name="_xlnm.Print_Area" localSheetId="0">'1. All Data'!$A$1:$AC$131</definedName>
    <definedName name="_xlnm.Print_Area" localSheetId="1">'Q1 Summary'!$A$1:$H$15</definedName>
    <definedName name="_xlnm.Print_Area" localSheetId="2">'Q2 Summary'!$A$1:$H$15</definedName>
    <definedName name="_xlnm.Print_Area" localSheetId="3">'Q3 Summary'!$A$1:$H$15</definedName>
    <definedName name="_xlnm.Print_Area" localSheetId="4">'Q4 Summary'!$A$1:$H$15</definedName>
    <definedName name="_xlnm.Print_Titles" localSheetId="0">'1. All Data'!$2:$2</definedName>
  </definedNames>
  <calcPr calcId="162913"/>
  <pivotCaches>
    <pivotCache cacheId="1"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108" i="1"/>
  <c r="X88" i="7" l="1"/>
  <c r="X87" i="7"/>
  <c r="X86" i="7"/>
  <c r="X85" i="7"/>
  <c r="X84" i="7"/>
  <c r="X83" i="7"/>
  <c r="X82" i="7"/>
  <c r="X81" i="7"/>
  <c r="X80" i="7"/>
  <c r="X79" i="7"/>
  <c r="X78" i="7"/>
  <c r="Q88" i="7"/>
  <c r="Q87" i="7"/>
  <c r="Q86" i="7"/>
  <c r="Q85" i="7"/>
  <c r="Q84" i="7"/>
  <c r="Q83" i="7"/>
  <c r="Q80" i="7"/>
  <c r="Q79" i="7"/>
  <c r="Q78" i="7"/>
  <c r="J88" i="7"/>
  <c r="J87" i="7"/>
  <c r="J86" i="7"/>
  <c r="J85" i="7"/>
  <c r="J84" i="7"/>
  <c r="J83" i="7"/>
  <c r="J80" i="7"/>
  <c r="J79" i="7"/>
  <c r="J78" i="7"/>
  <c r="C88" i="7"/>
  <c r="C87" i="7"/>
  <c r="C86" i="7"/>
  <c r="C85" i="7"/>
  <c r="C84" i="7"/>
  <c r="C83" i="7"/>
  <c r="C80" i="7"/>
  <c r="C79" i="7"/>
  <c r="C78" i="7"/>
  <c r="X70" i="7"/>
  <c r="X69" i="7"/>
  <c r="X68" i="7"/>
  <c r="X67" i="7"/>
  <c r="X66" i="7"/>
  <c r="X65" i="7"/>
  <c r="X64" i="7"/>
  <c r="X63" i="7"/>
  <c r="X62" i="7"/>
  <c r="X61" i="7"/>
  <c r="X60" i="7"/>
  <c r="Q70" i="7"/>
  <c r="Q69" i="7"/>
  <c r="Q68" i="7"/>
  <c r="Q67" i="7"/>
  <c r="Q66" i="7"/>
  <c r="Q65" i="7"/>
  <c r="Q62" i="7"/>
  <c r="Q61" i="7"/>
  <c r="Q60" i="7"/>
  <c r="J70" i="7"/>
  <c r="J69" i="7"/>
  <c r="J68" i="7"/>
  <c r="J67" i="7"/>
  <c r="J66" i="7"/>
  <c r="J65" i="7"/>
  <c r="J62" i="7"/>
  <c r="J61" i="7"/>
  <c r="J60" i="7"/>
  <c r="C70" i="7"/>
  <c r="C69" i="7"/>
  <c r="C68" i="7"/>
  <c r="C67" i="7"/>
  <c r="C66" i="7"/>
  <c r="C65" i="7"/>
  <c r="C62" i="7"/>
  <c r="C61" i="7"/>
  <c r="C60" i="7"/>
  <c r="X52" i="7"/>
  <c r="X51" i="7"/>
  <c r="X50" i="7"/>
  <c r="X49" i="7"/>
  <c r="X48" i="7"/>
  <c r="X47" i="7"/>
  <c r="X46" i="7"/>
  <c r="X45" i="7"/>
  <c r="X44" i="7"/>
  <c r="X43" i="7"/>
  <c r="X42" i="7"/>
  <c r="Q52" i="7"/>
  <c r="Q51" i="7"/>
  <c r="Q50" i="7"/>
  <c r="Q49" i="7"/>
  <c r="Q48" i="7"/>
  <c r="Q47" i="7"/>
  <c r="Q44" i="7"/>
  <c r="Q43" i="7"/>
  <c r="Q42" i="7"/>
  <c r="J52" i="7"/>
  <c r="J51" i="7"/>
  <c r="J50" i="7"/>
  <c r="J49" i="7"/>
  <c r="J48" i="7"/>
  <c r="J47" i="7"/>
  <c r="J44" i="7"/>
  <c r="J43" i="7"/>
  <c r="J42" i="7"/>
  <c r="C52" i="7"/>
  <c r="C51" i="7"/>
  <c r="C50" i="7"/>
  <c r="C49" i="7"/>
  <c r="C48" i="7"/>
  <c r="C47" i="7"/>
  <c r="C44" i="7"/>
  <c r="C43" i="7"/>
  <c r="C42" i="7"/>
  <c r="X34" i="7"/>
  <c r="X33" i="7"/>
  <c r="X32" i="7"/>
  <c r="X31" i="7"/>
  <c r="X30" i="7"/>
  <c r="X29" i="7"/>
  <c r="X28" i="7"/>
  <c r="X27" i="7"/>
  <c r="X26" i="7"/>
  <c r="X25" i="7"/>
  <c r="X24" i="7"/>
  <c r="Q34" i="7"/>
  <c r="Q33" i="7"/>
  <c r="Q32" i="7"/>
  <c r="Q31" i="7"/>
  <c r="Q30" i="7"/>
  <c r="Q29" i="7"/>
  <c r="Q26" i="7"/>
  <c r="Q25" i="7"/>
  <c r="Q24" i="7"/>
  <c r="J34" i="7"/>
  <c r="J33" i="7"/>
  <c r="J32" i="7"/>
  <c r="J31" i="7"/>
  <c r="J30" i="7"/>
  <c r="J29" i="7"/>
  <c r="J26" i="7"/>
  <c r="J25" i="7"/>
  <c r="J24" i="7"/>
  <c r="C34" i="7"/>
  <c r="C33" i="7"/>
  <c r="C32" i="7"/>
  <c r="C31" i="7"/>
  <c r="C30" i="7"/>
  <c r="C29" i="7"/>
  <c r="C26" i="7"/>
  <c r="C25" i="7"/>
  <c r="C24" i="7"/>
  <c r="X15" i="7"/>
  <c r="X14" i="7"/>
  <c r="X13" i="7"/>
  <c r="X12" i="7"/>
  <c r="X11" i="7"/>
  <c r="X10" i="7"/>
  <c r="X9" i="7"/>
  <c r="X8" i="7"/>
  <c r="X7" i="7"/>
  <c r="X6" i="7"/>
  <c r="X5" i="7"/>
  <c r="Q5" i="7"/>
  <c r="J15" i="7"/>
  <c r="J14" i="7"/>
  <c r="J13" i="7"/>
  <c r="J12" i="7"/>
  <c r="J11" i="7"/>
  <c r="J10" i="7"/>
  <c r="J7" i="7"/>
  <c r="J6" i="7"/>
  <c r="J5" i="7"/>
  <c r="C15" i="7"/>
  <c r="C14" i="7"/>
  <c r="C13" i="7"/>
  <c r="C12" i="7"/>
  <c r="C11" i="7"/>
  <c r="C10" i="7"/>
  <c r="C7" i="7"/>
  <c r="C6" i="7"/>
  <c r="C5" i="7"/>
  <c r="X49" i="5"/>
  <c r="X31" i="5"/>
  <c r="X33" i="5"/>
  <c r="X32" i="5"/>
  <c r="X30" i="5"/>
  <c r="X29" i="5"/>
  <c r="X28" i="5"/>
  <c r="X27" i="5"/>
  <c r="X26" i="5"/>
  <c r="X25" i="5"/>
  <c r="X24" i="5"/>
  <c r="X23" i="5"/>
  <c r="Q33" i="5"/>
  <c r="Q32" i="5"/>
  <c r="Q31" i="5"/>
  <c r="Q30" i="5"/>
  <c r="Q29" i="5"/>
  <c r="Q28" i="5"/>
  <c r="Q25" i="5"/>
  <c r="Q24" i="5"/>
  <c r="Q23" i="5"/>
  <c r="J33" i="5"/>
  <c r="J32" i="5"/>
  <c r="J31" i="5"/>
  <c r="J30" i="5"/>
  <c r="J29" i="5"/>
  <c r="J28" i="5"/>
  <c r="J25" i="5"/>
  <c r="J24" i="5"/>
  <c r="J23" i="5"/>
  <c r="C33" i="5"/>
  <c r="C32" i="5"/>
  <c r="C31" i="5"/>
  <c r="C30" i="5"/>
  <c r="C29" i="5"/>
  <c r="C28" i="5"/>
  <c r="C25" i="5"/>
  <c r="C24" i="5"/>
  <c r="C23" i="5"/>
  <c r="G12" i="16" l="1"/>
  <c r="G12" i="15"/>
  <c r="X15" i="5"/>
  <c r="X14" i="5"/>
  <c r="X13" i="5"/>
  <c r="X12" i="5"/>
  <c r="X11" i="5"/>
  <c r="X10" i="5"/>
  <c r="Q11" i="5" l="1"/>
  <c r="Q10" i="5"/>
  <c r="J15" i="5" l="1"/>
  <c r="J14" i="5"/>
  <c r="J13" i="5"/>
  <c r="J12" i="5"/>
  <c r="J11" i="5"/>
  <c r="J10" i="5"/>
  <c r="J6" i="5"/>
  <c r="J5" i="5"/>
  <c r="X69" i="5" l="1"/>
  <c r="X68" i="5"/>
  <c r="X67" i="5"/>
  <c r="X66" i="5"/>
  <c r="X65" i="5"/>
  <c r="X64" i="5"/>
  <c r="X63" i="5"/>
  <c r="X62" i="5"/>
  <c r="X61" i="5"/>
  <c r="X60" i="5"/>
  <c r="X59" i="5"/>
  <c r="X51" i="5"/>
  <c r="X50" i="5"/>
  <c r="X48" i="5"/>
  <c r="X47" i="5"/>
  <c r="X46" i="5"/>
  <c r="X45" i="5"/>
  <c r="X44" i="5"/>
  <c r="X43" i="5"/>
  <c r="X42" i="5"/>
  <c r="X41" i="5"/>
  <c r="X9" i="5"/>
  <c r="X8" i="5"/>
  <c r="X7" i="5"/>
  <c r="X6" i="5"/>
  <c r="X5" i="5"/>
  <c r="Q69" i="5"/>
  <c r="Q68" i="5"/>
  <c r="Q67" i="5"/>
  <c r="Q66" i="5"/>
  <c r="Q65" i="5"/>
  <c r="Q64" i="5"/>
  <c r="Q61" i="5"/>
  <c r="Q60" i="5"/>
  <c r="Q59" i="5"/>
  <c r="Q51" i="5"/>
  <c r="Q50" i="5"/>
  <c r="Q49" i="5"/>
  <c r="Q48" i="5"/>
  <c r="Q47" i="5"/>
  <c r="Q46" i="5"/>
  <c r="Q43" i="5"/>
  <c r="Q42" i="5"/>
  <c r="Q41" i="5"/>
  <c r="Q7" i="5"/>
  <c r="Q6" i="5"/>
  <c r="Q5" i="5"/>
  <c r="J69" i="5"/>
  <c r="J68" i="5"/>
  <c r="J67" i="5"/>
  <c r="J66" i="5"/>
  <c r="J65" i="5"/>
  <c r="J64" i="5"/>
  <c r="J61" i="5"/>
  <c r="J60" i="5"/>
  <c r="J59" i="5"/>
  <c r="J51" i="5"/>
  <c r="J50" i="5"/>
  <c r="J49" i="5"/>
  <c r="J48" i="5"/>
  <c r="J47" i="5"/>
  <c r="J46" i="5"/>
  <c r="J43" i="5"/>
  <c r="J42" i="5"/>
  <c r="J41" i="5"/>
  <c r="C69" i="5"/>
  <c r="C68" i="5"/>
  <c r="C67" i="5"/>
  <c r="C66" i="5"/>
  <c r="C65" i="5"/>
  <c r="C64" i="5"/>
  <c r="C61" i="5"/>
  <c r="C60" i="5"/>
  <c r="C59" i="5"/>
  <c r="C51" i="5"/>
  <c r="C50" i="5"/>
  <c r="C49" i="5"/>
  <c r="C48" i="5"/>
  <c r="C47" i="5"/>
  <c r="C46" i="5"/>
  <c r="C43" i="5"/>
  <c r="C42" i="5"/>
  <c r="C41" i="5"/>
  <c r="C7" i="5"/>
  <c r="C6" i="5"/>
  <c r="C5" i="5"/>
  <c r="C15" i="5"/>
  <c r="C14" i="5"/>
  <c r="C13" i="5"/>
  <c r="C12" i="5"/>
  <c r="C11" i="5"/>
  <c r="C10" i="5"/>
  <c r="J7" i="5" l="1"/>
  <c r="Q7" i="7" l="1"/>
  <c r="E11" i="16" l="1"/>
  <c r="G13" i="16"/>
  <c r="G14" i="16"/>
  <c r="G15" i="16"/>
  <c r="C15" i="16"/>
  <c r="C14" i="16"/>
  <c r="E12" i="16"/>
  <c r="E13" i="16"/>
  <c r="E14" i="16"/>
  <c r="E15" i="16"/>
  <c r="X89" i="7"/>
  <c r="Y86" i="7" s="1"/>
  <c r="Z86" i="7" s="1"/>
  <c r="X71" i="7"/>
  <c r="Y68" i="7" s="1"/>
  <c r="Z68" i="7" s="1"/>
  <c r="X53" i="7"/>
  <c r="Y49" i="7" s="1"/>
  <c r="Z49" i="7" s="1"/>
  <c r="C13" i="16"/>
  <c r="X35" i="7"/>
  <c r="Y33" i="7" s="1"/>
  <c r="Z33" i="7" s="1"/>
  <c r="C12" i="16"/>
  <c r="X16" i="7"/>
  <c r="Y14" i="7" s="1"/>
  <c r="Z14" i="7" s="1"/>
  <c r="G11" i="16"/>
  <c r="C11" i="16"/>
  <c r="Y28" i="7" l="1"/>
  <c r="Y45" i="7"/>
  <c r="Y63" i="7"/>
  <c r="Y27" i="7"/>
  <c r="Y62" i="7"/>
  <c r="Y80" i="7"/>
  <c r="Y44" i="7"/>
  <c r="Y81" i="7"/>
  <c r="Y26" i="7"/>
  <c r="Y46" i="7"/>
  <c r="Y64" i="7"/>
  <c r="Y82" i="7"/>
  <c r="X16" i="5"/>
  <c r="Y12" i="5" s="1"/>
  <c r="Z12" i="5" s="1"/>
  <c r="Y5" i="7"/>
  <c r="Y43" i="7"/>
  <c r="Y67" i="7"/>
  <c r="Z67" i="7" s="1"/>
  <c r="Y48" i="7"/>
  <c r="Y51" i="7"/>
  <c r="Z51" i="7" s="1"/>
  <c r="G5" i="16"/>
  <c r="G9"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7" i="16"/>
  <c r="Y9" i="7"/>
  <c r="Y60" i="7"/>
  <c r="Y83" i="7"/>
  <c r="Y79" i="7"/>
  <c r="X72" i="7"/>
  <c r="Y65" i="7"/>
  <c r="Y61" i="7"/>
  <c r="Y52" i="7"/>
  <c r="Z52" i="7" s="1"/>
  <c r="Y50" i="7"/>
  <c r="Z50" i="7" s="1"/>
  <c r="Y47" i="7"/>
  <c r="Y42" i="7"/>
  <c r="Y34" i="7"/>
  <c r="Z34" i="7" s="1"/>
  <c r="Y24" i="7"/>
  <c r="Y25" i="7"/>
  <c r="Y31" i="7"/>
  <c r="Z31" i="7" s="1"/>
  <c r="Y30" i="7"/>
  <c r="Y29" i="7"/>
  <c r="X36" i="7"/>
  <c r="Y32" i="7"/>
  <c r="Z32" i="7" s="1"/>
  <c r="E9" i="16"/>
  <c r="E8" i="16"/>
  <c r="E7" i="16"/>
  <c r="C9" i="16"/>
  <c r="Y6" i="7"/>
  <c r="C5" i="16"/>
  <c r="X34" i="5"/>
  <c r="Y30" i="5" s="1"/>
  <c r="Z30" i="5" s="1"/>
  <c r="X70" i="5"/>
  <c r="Y60" i="5" s="1"/>
  <c r="C7"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D13" i="16" s="1"/>
  <c r="AB62" i="7"/>
  <c r="AB80" i="7"/>
  <c r="AB44" i="7"/>
  <c r="F13" i="16" s="1"/>
  <c r="AB26" i="7"/>
  <c r="AB7" i="7"/>
  <c r="Z10" i="5"/>
  <c r="AB10" i="7"/>
  <c r="AA41" i="5"/>
  <c r="AA42" i="5"/>
  <c r="AA46" i="5"/>
  <c r="AA47" i="5"/>
  <c r="AA45" i="5"/>
  <c r="AA43" i="5"/>
  <c r="AA44" i="5"/>
  <c r="AA59" i="5"/>
  <c r="AA60" i="5"/>
  <c r="AA61" i="5"/>
  <c r="AA62" i="5"/>
  <c r="AA63" i="5"/>
  <c r="AA65" i="5"/>
  <c r="AA64" i="5"/>
  <c r="Z41" i="5"/>
  <c r="AB47" i="7"/>
  <c r="H13" i="16" s="1"/>
  <c r="Z28" i="5"/>
  <c r="Z7" i="5"/>
  <c r="Z23" i="5"/>
  <c r="Z46" i="5"/>
  <c r="Z5" i="5"/>
  <c r="Z64" i="5"/>
  <c r="Z25" i="5"/>
  <c r="AA24" i="5"/>
  <c r="AA29" i="5"/>
  <c r="AA27" i="5"/>
  <c r="AA25" i="5"/>
  <c r="AA26" i="5"/>
  <c r="AA28" i="5"/>
  <c r="AA11" i="5"/>
  <c r="AA8" i="5"/>
  <c r="AA7" i="5"/>
  <c r="AA10" i="5"/>
  <c r="AA6" i="5"/>
  <c r="AA9" i="5"/>
  <c r="Z61" i="5"/>
  <c r="G5" i="15"/>
  <c r="C5" i="15"/>
  <c r="E8" i="14"/>
  <c r="E5" i="14"/>
  <c r="E9" i="14"/>
  <c r="AB25" i="5" l="1"/>
  <c r="AB61" i="5"/>
  <c r="F7" i="16" s="1"/>
  <c r="AB10" i="5"/>
  <c r="AB7" i="5"/>
  <c r="AB59" i="5"/>
  <c r="D7" i="16" s="1"/>
  <c r="AB41" i="5"/>
  <c r="D8" i="16" s="1"/>
  <c r="AB43" i="5"/>
  <c r="F8" i="16" s="1"/>
  <c r="AB64" i="5"/>
  <c r="H7" i="16" s="1"/>
  <c r="AB23" i="5"/>
  <c r="D9" i="16" s="1"/>
  <c r="AB46" i="5"/>
  <c r="H8" i="16" s="1"/>
  <c r="AB5" i="5"/>
  <c r="AD5" i="5" s="1"/>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E13" i="14" l="1"/>
  <c r="AB83" i="7" l="1"/>
  <c r="AB78" i="7"/>
  <c r="AB65" i="7"/>
  <c r="AB60" i="7"/>
  <c r="BC41" i="8"/>
  <c r="BC40" i="8"/>
  <c r="BC39" i="8"/>
  <c r="AB29" i="7"/>
  <c r="AB24" i="7"/>
  <c r="D12" i="16" s="1"/>
  <c r="BC7" i="8"/>
  <c r="E15" i="15"/>
  <c r="C15" i="15"/>
  <c r="E14" i="15"/>
  <c r="E13" i="15"/>
  <c r="E12" i="15"/>
  <c r="Q15" i="7"/>
  <c r="Q14" i="7"/>
  <c r="Q13" i="7"/>
  <c r="Q12" i="7"/>
  <c r="Q11" i="7"/>
  <c r="Q10" i="7"/>
  <c r="E11" i="15"/>
  <c r="Q6" i="7"/>
  <c r="E15" i="14"/>
  <c r="E14" i="14"/>
  <c r="C13" i="14"/>
  <c r="E12" i="14"/>
  <c r="E11" i="14"/>
  <c r="G11" i="14" l="1"/>
  <c r="G13" i="14"/>
  <c r="G12" i="14"/>
  <c r="G12" i="9"/>
  <c r="C11" i="15"/>
  <c r="BC71" i="8"/>
  <c r="D15" i="16"/>
  <c r="BC72" i="8"/>
  <c r="F15" i="16"/>
  <c r="BC73" i="8"/>
  <c r="H15" i="16"/>
  <c r="BC57" i="8"/>
  <c r="H14" i="16"/>
  <c r="BC55" i="8"/>
  <c r="D14" i="16"/>
  <c r="BC56" i="8"/>
  <c r="F14" i="16"/>
  <c r="BC24" i="8"/>
  <c r="F12" i="16"/>
  <c r="BC25" i="8"/>
  <c r="H12" i="16"/>
  <c r="BC23" i="8"/>
  <c r="BC9" i="8"/>
  <c r="H11" i="16"/>
  <c r="BC8" i="8"/>
  <c r="F11" i="16"/>
  <c r="D11" i="16"/>
  <c r="C13" i="15"/>
  <c r="G14" i="15"/>
  <c r="C14" i="15"/>
  <c r="G15" i="15"/>
  <c r="C12" i="15"/>
  <c r="G13"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7"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7" i="15"/>
  <c r="E8" i="15"/>
  <c r="E9" i="15"/>
  <c r="Q15" i="5"/>
  <c r="Q14" i="5"/>
  <c r="Q13" i="5"/>
  <c r="C7" i="14"/>
  <c r="C8" i="14"/>
  <c r="C9" i="14"/>
  <c r="E5" i="9"/>
  <c r="Q16" i="5" l="1"/>
  <c r="T6" i="7"/>
  <c r="T11" i="7"/>
  <c r="T5" i="7"/>
  <c r="T10" i="7"/>
  <c r="L5" i="7"/>
  <c r="C7" i="15"/>
  <c r="S60" i="7"/>
  <c r="BC24" i="6"/>
  <c r="F9" i="16"/>
  <c r="BC25" i="6"/>
  <c r="H9" i="16"/>
  <c r="C9" i="15"/>
  <c r="G8" i="15"/>
  <c r="G9" i="15"/>
  <c r="BB8" i="8"/>
  <c r="F11" i="15"/>
  <c r="C8" i="15"/>
  <c r="G7" i="15"/>
  <c r="AZ9" i="8"/>
  <c r="E9" i="9"/>
  <c r="E8" i="9"/>
  <c r="AZ8" i="8"/>
  <c r="C5" i="9"/>
  <c r="E7" i="9"/>
  <c r="G7" i="14"/>
  <c r="G9"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9"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7" i="9"/>
  <c r="G5" i="9"/>
  <c r="G8" i="9"/>
  <c r="C7" i="9"/>
  <c r="G9"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7"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9"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7" i="9" s="1"/>
  <c r="BB24" i="6"/>
  <c r="F9" i="15"/>
  <c r="BB56" i="6"/>
  <c r="F7" i="15"/>
  <c r="BB40" i="6"/>
  <c r="F8" i="15"/>
  <c r="BB8" i="6"/>
  <c r="F5" i="15"/>
  <c r="U5" i="5"/>
  <c r="U10" i="5"/>
  <c r="H8" i="9"/>
  <c r="AZ40" i="6"/>
  <c r="BA24" i="6"/>
  <c r="F9" i="14"/>
  <c r="BA8" i="6"/>
  <c r="F5" i="14"/>
  <c r="BA40" i="6"/>
  <c r="F8" i="14"/>
  <c r="N10" i="5"/>
  <c r="AZ23" i="6"/>
  <c r="D9" i="9"/>
  <c r="F8" i="9"/>
  <c r="AZ41" i="6"/>
  <c r="G41" i="5"/>
  <c r="AZ57" i="6"/>
  <c r="H7" i="9"/>
  <c r="AZ8" i="6"/>
  <c r="F5" i="9"/>
  <c r="AZ25" i="6"/>
  <c r="H9" i="9"/>
  <c r="AZ56" i="6"/>
  <c r="F7" i="9"/>
  <c r="N5" i="5"/>
  <c r="N64" i="5"/>
  <c r="N59" i="5"/>
  <c r="N46" i="5"/>
  <c r="U41" i="5"/>
  <c r="U46" i="5"/>
  <c r="U28" i="5"/>
  <c r="U64" i="5"/>
  <c r="N23" i="5"/>
  <c r="U59" i="5"/>
  <c r="N28" i="5"/>
  <c r="U23" i="5"/>
  <c r="G10" i="5"/>
  <c r="BB39" i="6" l="1"/>
  <c r="D8" i="15"/>
  <c r="AZ55" i="6"/>
  <c r="BB23" i="6"/>
  <c r="D9" i="15"/>
  <c r="BB57" i="6"/>
  <c r="H7" i="15"/>
  <c r="BB25" i="6"/>
  <c r="H9" i="15"/>
  <c r="BB9" i="6"/>
  <c r="H5" i="15"/>
  <c r="BB55" i="6"/>
  <c r="D7" i="15"/>
  <c r="BB41" i="6"/>
  <c r="H8" i="15"/>
  <c r="BB7" i="6"/>
  <c r="D5" i="15"/>
  <c r="D5" i="9"/>
  <c r="D8" i="9"/>
  <c r="BA23" i="6"/>
  <c r="D9" i="14"/>
  <c r="BA55" i="6"/>
  <c r="D7" i="14"/>
  <c r="BA9" i="6"/>
  <c r="H5" i="14"/>
  <c r="BA41" i="6"/>
  <c r="H8" i="14"/>
  <c r="BA39" i="6"/>
  <c r="D8" i="14"/>
  <c r="BA25" i="6"/>
  <c r="H9" i="14"/>
  <c r="BA57" i="6"/>
  <c r="H7" i="14"/>
  <c r="BA7" i="6"/>
  <c r="D5" i="14"/>
  <c r="AZ39" i="6"/>
  <c r="AZ9" i="6"/>
  <c r="H5" i="9"/>
  <c r="AZ7" i="6"/>
</calcChain>
</file>

<file path=xl/comments1.xml><?xml version="1.0" encoding="utf-8"?>
<comments xmlns="http://schemas.openxmlformats.org/spreadsheetml/2006/main">
  <authors>
    <author>Jennifer Norman</author>
  </authors>
  <commentList>
    <comment ref="G2" authorId="0" shapeId="0">
      <text>
        <r>
          <rPr>
            <b/>
            <sz val="9"/>
            <color indexed="81"/>
            <rFont val="Tahoma"/>
            <family val="2"/>
          </rPr>
          <t>(NUMERICAL INDICATORS ONLY)</t>
        </r>
      </text>
    </comment>
    <comment ref="K2" authorId="0" shapeId="0">
      <text>
        <r>
          <rPr>
            <b/>
            <sz val="9"/>
            <color indexed="81"/>
            <rFont val="Tahoma"/>
            <family val="2"/>
          </rPr>
          <t>(NUMERICAL INDICATORS ONLY)</t>
        </r>
      </text>
    </comment>
    <comment ref="L2" authorId="0" shapeId="0">
      <text>
        <r>
          <rPr>
            <b/>
            <sz val="9"/>
            <color indexed="81"/>
            <rFont val="Tahoma"/>
            <family val="2"/>
          </rPr>
          <t>(NUMERICAL INDICATORS ONLY)</t>
        </r>
      </text>
    </comment>
    <comment ref="P2" authorId="0" shapeId="0">
      <text>
        <r>
          <rPr>
            <b/>
            <sz val="9"/>
            <color indexed="81"/>
            <rFont val="Tahoma"/>
            <family val="2"/>
          </rPr>
          <t>(NUMERICAL INDICATORS ONLY)</t>
        </r>
      </text>
    </comment>
    <comment ref="Q2" authorId="0" shapeId="0">
      <text>
        <r>
          <rPr>
            <b/>
            <sz val="9"/>
            <color indexed="81"/>
            <rFont val="Tahoma"/>
            <family val="2"/>
          </rPr>
          <t>(NUMERICAL INDICATORS ONLY)</t>
        </r>
      </text>
    </comment>
    <comment ref="U2" authorId="0" shapeId="0">
      <text>
        <r>
          <rPr>
            <b/>
            <sz val="9"/>
            <color indexed="81"/>
            <rFont val="Tahoma"/>
            <family val="2"/>
          </rPr>
          <t>(NUMERICAL INDICATORS ONLY)</t>
        </r>
      </text>
    </comment>
  </commentList>
</comments>
</file>

<file path=xl/sharedStrings.xml><?xml version="1.0" encoding="utf-8"?>
<sst xmlns="http://schemas.openxmlformats.org/spreadsheetml/2006/main" count="2565" uniqueCount="704">
  <si>
    <t>Measures</t>
  </si>
  <si>
    <t>Target 2019/20</t>
  </si>
  <si>
    <t xml:space="preserve">Having an approved Statement of Accounts </t>
  </si>
  <si>
    <t>Increasing Staffing Availability Through Reduced Sickness</t>
  </si>
  <si>
    <t>Minimise The Number Of Missed Bin Collections</t>
  </si>
  <si>
    <t>Maintaining excellent customer access to services with face-to-face and telephony enquiries</t>
  </si>
  <si>
    <t>Major Planning Applications Determined Within 13 Weeks</t>
  </si>
  <si>
    <t>Minor Planning Applications Determined Within 8 Weeks</t>
  </si>
  <si>
    <t>Other Planning Applications Determined in 8 Weeks</t>
  </si>
  <si>
    <t>Delivering Better Services to Support Homelessness</t>
  </si>
  <si>
    <t>Portfolio</t>
  </si>
  <si>
    <t>Service</t>
  </si>
  <si>
    <t>Community Regeneration</t>
  </si>
  <si>
    <t>Value for Money Council</t>
  </si>
  <si>
    <t>Qtr</t>
  </si>
  <si>
    <t>Q4</t>
  </si>
  <si>
    <t>Q1</t>
  </si>
  <si>
    <t>Q2</t>
  </si>
  <si>
    <t>Q3</t>
  </si>
  <si>
    <t>Team</t>
  </si>
  <si>
    <t>Reporting Officer</t>
  </si>
  <si>
    <t>Target Date</t>
  </si>
  <si>
    <t>Quarter 1 On Track? (R/A/G)</t>
  </si>
  <si>
    <t>Comments / Further action (Q1)
(IF APPLICABLE)</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</si>
  <si>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</si>
  <si>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</si>
  <si>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</si>
  <si>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</si>
  <si>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</si>
  <si>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</si>
  <si>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</si>
  <si>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</si>
  <si>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</si>
  <si>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</si>
  <si>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</si>
  <si>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</si>
  <si>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</si>
  <si>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</si>
  <si>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</si>
  <si>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Quarter 2
 On Track? (R/A/G)</t>
  </si>
  <si>
    <t>Comments / Further action (Q2)
(IF APPLICABLE)</t>
  </si>
  <si>
    <t>Quarter 3 
On Track? (R/A/G)</t>
  </si>
  <si>
    <t>Comments / Further action (Q3)
(IF APPLICABLE)</t>
  </si>
  <si>
    <t>Comments / Further action (Q4)
(IF APPLICABLE)</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</si>
  <si>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</si>
  <si>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</si>
  <si>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</si>
  <si>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</si>
  <si>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</si>
  <si>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</si>
  <si>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</si>
  <si>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</si>
  <si>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</si>
  <si>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</si>
  <si>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</si>
  <si>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</si>
  <si>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</si>
  <si>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</si>
  <si>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</si>
  <si>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</si>
  <si>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</si>
  <si>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</si>
  <si>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</si>
  <si>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</si>
  <si>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</si>
  <si>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</si>
  <si>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</si>
  <si>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Number of Indicators</t>
  </si>
  <si>
    <t>Percentage</t>
  </si>
  <si>
    <t>Overall Performance</t>
  </si>
  <si>
    <t>All due targets</t>
  </si>
  <si>
    <t>Corporate Priority</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</si>
  <si>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</si>
  <si>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</si>
  <si>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</si>
  <si>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</si>
  <si>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</si>
  <si>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</si>
  <si>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</si>
  <si>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</si>
  <si>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</si>
  <si>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</si>
  <si>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</si>
  <si>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</si>
  <si>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</si>
  <si>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</si>
  <si>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</si>
  <si>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</si>
  <si>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End of Year Achieved?
(R/A/G)</t>
  </si>
  <si>
    <t xml:space="preserve">VALUE FOR MONEY COUNCIL </t>
  </si>
  <si>
    <t>Increase Capacity at Stapenhill Cemetery</t>
  </si>
  <si>
    <t>Market Hall Development Initiatives</t>
  </si>
  <si>
    <t>Average time from appointment to initial decision for homeless applicants of 3 days</t>
  </si>
  <si>
    <t>Open Spaces Initiatives</t>
  </si>
  <si>
    <t>Development of the Selective Licensing Scheme</t>
  </si>
  <si>
    <t>Disabled Facilities Grant Review</t>
  </si>
  <si>
    <t xml:space="preserve">Submit Statement of Accounts to Audit Committee by the earlier Statutory Deadline </t>
  </si>
  <si>
    <t>Continue to Improve the Ways We Provide Benefits to Those Most in Need:</t>
  </si>
  <si>
    <t>Maintain Robust Mechanisms for Contract Managing the Leisure Service Arrangements</t>
  </si>
  <si>
    <t>Report on the performance of the Leisure Operator on a quarterly basis</t>
  </si>
  <si>
    <t>Improve Awareness of Council Services, Venues and Initiatives</t>
  </si>
  <si>
    <t>99% of CSC and Telephony Team Enquiries Resolved at First Point of Contact</t>
  </si>
  <si>
    <t>Minimum 75% Telephony Team Calls Answered Within 10 Seconds</t>
  </si>
  <si>
    <t>VALUE FOR MONEY</t>
  </si>
  <si>
    <t>Set the MTFS for 2022/23 onwards</t>
  </si>
  <si>
    <t>Developing Tourism within the Borough</t>
  </si>
  <si>
    <t>Working Towards the Reduction of Claimant Error Housing Benefit Overpayments (HBOPs):</t>
  </si>
  <si>
    <t xml:space="preserve">Supporting Sports and Leisure Delivery Partners </t>
  </si>
  <si>
    <t>Identify and respond to appropriate opportunities to support the Birmingham 2022 Commonwealth Games-including the Queen’s Baton Relay and supporting cultural activities</t>
  </si>
  <si>
    <t>Support the regeneration of Uttoxeter through the Uttoxeter Masterplan</t>
  </si>
  <si>
    <t>Improve the Washlands as a regional attraction</t>
  </si>
  <si>
    <t>Complete the delivery of the Washlands Enhancement Project</t>
  </si>
  <si>
    <t>Support economic growth in East Staffordshire</t>
  </si>
  <si>
    <t xml:space="preserve">Maintain Performance On Recycling </t>
  </si>
  <si>
    <t>Housing Strategy Initiatives: Proactively reducing the number of empty homes in the borough</t>
  </si>
  <si>
    <t>Maintain ‘Key to Key’ Void Turnaround to an average of 6 working days</t>
  </si>
  <si>
    <t>Community and Regulatory Services</t>
  </si>
  <si>
    <t>Former Portfolio</t>
  </si>
  <si>
    <t>Finance</t>
  </si>
  <si>
    <t>Target 2022-23</t>
  </si>
  <si>
    <t>Moving Beyond Communication</t>
  </si>
  <si>
    <t>Conduct a Residents’ Survey</t>
  </si>
  <si>
    <t>Prepare our Annual Communications Plan</t>
  </si>
  <si>
    <t xml:space="preserve">Carry out  a review of the Communications, Engagement and Consultation Strategy </t>
  </si>
  <si>
    <t>Local approach to Strategic Procurement</t>
  </si>
  <si>
    <t>Review procurement policy to maximise opportunities for local businesses</t>
  </si>
  <si>
    <t>Partnership and Community initiatives</t>
  </si>
  <si>
    <r>
      <t xml:space="preserve">Review the Councillors Community Fund to ensure funding projects remain relevant and </t>
    </r>
    <r>
      <rPr>
        <b/>
        <sz val="11"/>
        <color rgb="FF000000"/>
        <rFont val="Arial"/>
        <family val="2"/>
      </rPr>
      <t>put forward suggestions for the future use of the scheme</t>
    </r>
  </si>
  <si>
    <t>Understanding the position in relation to Town Centre recovery</t>
  </si>
  <si>
    <t>Develop a range of data that monitors and tracks information on footfall and car park usage in our High Streets</t>
  </si>
  <si>
    <t>Work with the Voluntary Sector to develop a post-Covid Voluntary Sector Engagement Strategy in support of our communities</t>
  </si>
  <si>
    <t>Establish a Voluntary Sector Forum</t>
  </si>
  <si>
    <t>Support partners in progressing the Uttoxeter Sports Hub including receipt of six-monthly progress report from partners and exploring opportunities for financial assistance</t>
  </si>
  <si>
    <t>Provide the second year evaluation of the Tourism Strategy</t>
  </si>
  <si>
    <t>Commission an audit of current levels of tourism activity in East Staffordshire to underpin the future delivery of events and the support the Council provides to potential partners</t>
  </si>
  <si>
    <t>Develop a dedicated tourism website and tourism branding to help create an identity for the Borough</t>
  </si>
  <si>
    <t>Launch an East Staffordshire Tourism Partnership bringing together local business to share ideas and develop this aspect of the economy</t>
  </si>
  <si>
    <t>Cemetery Service Initiatives</t>
  </si>
  <si>
    <t>Provide an enhanced digital presence for the Cemetery</t>
  </si>
  <si>
    <t xml:space="preserve">Cabinet report on logistics and options for the Cemetery expansion project  </t>
  </si>
  <si>
    <t>Market Initiatives</t>
  </si>
  <si>
    <t>Develop and enhance the Outdoor Market programme offer</t>
  </si>
  <si>
    <t>Review a sustainable use for the future of the Market Hall</t>
  </si>
  <si>
    <t>Developing Healthy Lifestyles</t>
  </si>
  <si>
    <t>Working with Better Health Staffordshire, the Council will support the development of this programme and report progress on a quarterly basis</t>
  </si>
  <si>
    <t>Top Quartile as measured against relevant DLUHC figures</t>
  </si>
  <si>
    <t>Maintain Qualitative Performance with Planning Application Determination</t>
  </si>
  <si>
    <t>The proportion of decisions on major applications that are subsequently overturned at appeal is not to exceed 0.5%</t>
  </si>
  <si>
    <t>Implement an approach for collating customer feedback post decision notice</t>
  </si>
  <si>
    <t>Keeping Members informed on Planning Matters</t>
  </si>
  <si>
    <t>9 * Planning Committee Member training sessions</t>
  </si>
  <si>
    <t>2 * All Member briefing sessions</t>
  </si>
  <si>
    <t>Keeping Key Stakeholders informed on Planning Matters</t>
  </si>
  <si>
    <t>Deliver 4 Developer Forums</t>
  </si>
  <si>
    <t>Deliver transformational regeneration for Burton upon Trent working in partnership with the Burton Town Deal Board</t>
  </si>
  <si>
    <t>Continue to consider the acquisition of the Molson Coors High Street campus</t>
  </si>
  <si>
    <t>Complete the review of the Regional Learning Hub (Project C) business case and agree next steps</t>
  </si>
  <si>
    <t>In partnership with SCC, complete the bus and parking strategy for Uttoxeter, incorporating cycling routes</t>
  </si>
  <si>
    <t xml:space="preserve">Progress a Compulsory Purchase Order of the Maltings Precinct </t>
  </si>
  <si>
    <t>Conduct further engagement with residents on proposals for regenerating the Maltings</t>
  </si>
  <si>
    <t>Work with key stakeholders to create a plan for the new Washlands Visitor Centre</t>
  </si>
  <si>
    <t>Administer a second round of the Business Springboard Boost grant throughout the year</t>
  </si>
  <si>
    <t>Design and launch a Local Regeneration Grant Fund for a period of 12 months</t>
  </si>
  <si>
    <t>Provide six monthly reporting on the marketing of Burton as a place to live and invest in</t>
  </si>
  <si>
    <t>Hold 6 engagement events with retail and hospitality businesses in towns and local centres within East Staffordshire</t>
  </si>
  <si>
    <t>Commission a detailed feasibility study for a Business Improvement District in Uttoxeter</t>
  </si>
  <si>
    <t>Deliver SMARTER Planning Services</t>
  </si>
  <si>
    <t>Develop Planning Service Review with project scope and timescales</t>
  </si>
  <si>
    <t>SMARTER Planning Services</t>
  </si>
  <si>
    <t>Update report on Planning Service Review against agreed milestones</t>
  </si>
  <si>
    <t>Licensing and Enforcement Activities – ASB</t>
  </si>
  <si>
    <t>Review and update the Anti-Social Behaviour (ASB) procedure</t>
  </si>
  <si>
    <t>Licensing and Enforcement Activities - ASB</t>
  </si>
  <si>
    <t>Continue to address ASB in the Borough through the establishment of an officer and partner group. Seek to increase the issuances of Fixed Penalty Notices by 10% on pre-pandemic performance (from 59)</t>
  </si>
  <si>
    <t>Licensing and Enforcement Activities-Taxi Trade</t>
  </si>
  <si>
    <t>Undertake a planned programme of enforcement activity (6) to ensure compliance with the current policies and standards</t>
  </si>
  <si>
    <t>Work with the County Council to confirm taxi rank provision in Burton upon Trent and Uttoxeter</t>
  </si>
  <si>
    <t>Revise the Domestic Abuse strategy to reflect changes in legislation and emerging definitions</t>
  </si>
  <si>
    <t>Community and Civil Enforcement</t>
  </si>
  <si>
    <t>Undertake a review of existing Public Space Protection Orders currently in place across the Borough and renew and amend these as appropriate</t>
  </si>
  <si>
    <t>Climate Change Initiatives</t>
  </si>
  <si>
    <t>Provide an interim report on ‘in year’ progress on the Climate Change Action Plan</t>
  </si>
  <si>
    <t>Undertake a number of Climate Change initiatives as outlined in the Action Plan for 2022/23. Including developing an electric vehicle (EV) strategy for East Staffordshire and the delivery of 3 EV charging points in Burton</t>
  </si>
  <si>
    <t>Complete an Annual Review of the Disabled Facilities Grant Service, improving service delivery timescales from ‘enquiry to completion’ by 10% on 20/21 performance</t>
  </si>
  <si>
    <t xml:space="preserve">Environmental Health – Covid-19  Compliance </t>
  </si>
  <si>
    <t>Working in partnership with Staffordshire County Council, continue to review and manage Covid-19 outbreaks in high risk settings along with the monitoring of compliance</t>
  </si>
  <si>
    <t>Brewhouse and Town Hall Service</t>
  </si>
  <si>
    <t>Deliver a programme of 6 Outdoor events to take place across the Boroughs parks and green spaces during summer 2022 including 1 ‘flagship’ outdoor theatre event</t>
  </si>
  <si>
    <t>Develop a number of new partnerships including the delivery of a series of arts events that will take place across the Jubilee Weekend; including the launch of the Big Burton Carousel Art Trail</t>
  </si>
  <si>
    <t>Support the delivery of the Burton Ale Trail</t>
  </si>
  <si>
    <t>Continue to build our digital presence in support of the professional live theatre and entertainment programme, including 4 professional live programmed events at Burton Town Hall</t>
  </si>
  <si>
    <t>Maintain Performance For Street Cleansing</t>
  </si>
  <si>
    <r>
      <t xml:space="preserve">Litter
</t>
    </r>
    <r>
      <rPr>
        <b/>
        <i/>
        <sz val="11"/>
        <color theme="9" tint="-0.499984740745262"/>
        <rFont val="Arial"/>
        <family val="2"/>
      </rPr>
      <t>0% (using NI195 survey methodology)</t>
    </r>
  </si>
  <si>
    <r>
      <t xml:space="preserve">Detritus
</t>
    </r>
    <r>
      <rPr>
        <b/>
        <i/>
        <sz val="11"/>
        <color theme="9" tint="-0.499984740745262"/>
        <rFont val="Arial"/>
        <family val="2"/>
      </rPr>
      <t>0% (using NI195 survey methodology)</t>
    </r>
  </si>
  <si>
    <r>
      <t xml:space="preserve">Graffiti
</t>
    </r>
    <r>
      <rPr>
        <b/>
        <i/>
        <sz val="11"/>
        <color theme="9" tint="-0.499984740745262"/>
        <rFont val="Arial"/>
        <family val="2"/>
      </rPr>
      <t>0% (using NI195 survey methodology)</t>
    </r>
  </si>
  <si>
    <r>
      <t xml:space="preserve">Fly-posting
</t>
    </r>
    <r>
      <rPr>
        <b/>
        <i/>
        <sz val="11"/>
        <color theme="9" tint="-0.499984740745262"/>
        <rFont val="Arial"/>
        <family val="2"/>
      </rPr>
      <t>0% (using NI195 survey methodology)</t>
    </r>
  </si>
  <si>
    <r>
      <t xml:space="preserve">Household Waste Recycled and Composted: </t>
    </r>
    <r>
      <rPr>
        <b/>
        <i/>
        <sz val="11"/>
        <color rgb="FF4F6228"/>
        <rFont val="Arial"/>
        <family val="2"/>
      </rPr>
      <t>Upper Quartile</t>
    </r>
  </si>
  <si>
    <t xml:space="preserve">Improve Performance On Waste Reduction </t>
  </si>
  <si>
    <r>
      <t xml:space="preserve">Residual Household Waste Per Household: </t>
    </r>
    <r>
      <rPr>
        <b/>
        <i/>
        <sz val="11"/>
        <color rgb="FF4F6228"/>
        <rFont val="Arial"/>
        <family val="2"/>
      </rPr>
      <t>Upper Quartile.</t>
    </r>
  </si>
  <si>
    <r>
      <t xml:space="preserve">Number Of Missed Bin Collections: </t>
    </r>
    <r>
      <rPr>
        <b/>
        <i/>
        <sz val="11"/>
        <color theme="9" tint="-0.499984740745262"/>
        <rFont val="Arial"/>
        <family val="2"/>
      </rPr>
      <t xml:space="preserve">Achieve 99.97% successful bin collections across the Borough </t>
    </r>
  </si>
  <si>
    <t>Improving Recycling Performance</t>
  </si>
  <si>
    <t>Go live with new fibre-separate dry recycling service</t>
  </si>
  <si>
    <t>Initiate new recycling communication campaign</t>
  </si>
  <si>
    <t>Further Development of SMARTER working  (Waste Collection &amp; Street Cleaning)</t>
  </si>
  <si>
    <t>Performance Report on progress and next steps with the potential of a shared service</t>
  </si>
  <si>
    <t xml:space="preserve">Conduct a trial with a ‘greener’ waste-collection vehicle </t>
  </si>
  <si>
    <t xml:space="preserve">Carry out a review of the Trade Waste Service  </t>
  </si>
  <si>
    <t xml:space="preserve">Housing Strategy Initiatives: Update on Improvements to the Housing Register </t>
  </si>
  <si>
    <t>Produce an update report and next steps for revised Housing Register and Allocations Service Contract</t>
  </si>
  <si>
    <t>Performance report identifying the reduction in empty homes</t>
  </si>
  <si>
    <t>Develop the approach for the delivery of the new Rough Sleepers Outreach Service</t>
  </si>
  <si>
    <t>Carryout relevant procurement and service redesign, following the outcome of RSI 5</t>
  </si>
  <si>
    <t>Investigate opportunities to establish an enhanced Play Day event in conjunction with Everyone Active</t>
  </si>
  <si>
    <t>Provide marketing support across ESBC departments and develop a minimum of 6 marketing campaigns around key events and projects across the council-report to members each quarter</t>
  </si>
  <si>
    <t xml:space="preserve">Open Spaces Initiatives </t>
  </si>
  <si>
    <t>Complete a second year review of the Parks Development Plan</t>
  </si>
  <si>
    <r>
      <t xml:space="preserve">Deliver the national “In Bloom” entry for Burton aiming to achieve a </t>
    </r>
    <r>
      <rPr>
        <b/>
        <sz val="11"/>
        <color theme="1"/>
        <rFont val="Arial"/>
        <family val="2"/>
      </rPr>
      <t xml:space="preserve">Silver gilt award at national level and a minimum of </t>
    </r>
    <r>
      <rPr>
        <b/>
        <sz val="11"/>
        <color rgb="FF000000"/>
        <rFont val="Arial"/>
        <family val="2"/>
      </rPr>
      <t>three golds at the regional “In Bloom” awards</t>
    </r>
  </si>
  <si>
    <r>
      <t>Sustain current scores for “It’s Your Neighbourhood Parks” entries-</t>
    </r>
    <r>
      <rPr>
        <b/>
        <sz val="11"/>
        <color theme="1"/>
        <rFont val="Arial"/>
        <family val="2"/>
      </rPr>
      <t xml:space="preserve">13 Gold awards, 7 Silver Gilt Awards and 2 Silver Awards </t>
    </r>
    <r>
      <rPr>
        <b/>
        <sz val="11"/>
        <color rgb="FF000000"/>
        <rFont val="Arial"/>
        <family val="2"/>
      </rPr>
      <t>and expand the number of entries by two</t>
    </r>
  </si>
  <si>
    <t>Undertake a review of the play equipment provision within East Staffordshire</t>
  </si>
  <si>
    <t>Implement a project to address the issue of dog fouling through the provision of dog fouling bags on parks across the Borough</t>
  </si>
  <si>
    <t>Develop proposals to upgrade the amenities at Branston Water Park</t>
  </si>
  <si>
    <t>Review and update the Council’s Tree Policy to provide guidance on increased levels of tree planting resulting from initiatives relating to the Climate Change emergency</t>
  </si>
  <si>
    <t>New &amp; Refreshed Planning Policies</t>
  </si>
  <si>
    <t>Finalise Sustainable Development SPD</t>
  </si>
  <si>
    <t>Finalise Biodiversity Guidance</t>
  </si>
  <si>
    <t>Update Housing Choice SPD</t>
  </si>
  <si>
    <t>Report considering the merits of an ARTICLE 4 (Retail/Residential) in the town centre</t>
  </si>
  <si>
    <t>Monitor Performance of the Local Plan</t>
  </si>
  <si>
    <t>Complete the annual review of the Local Plan</t>
  </si>
  <si>
    <t>Improve On The Average Time To Pay Creditors</t>
  </si>
  <si>
    <t>Average Time To Pay Creditors: Within 10 days of receipt of invoice</t>
  </si>
  <si>
    <t>Refresh Member Training</t>
  </si>
  <si>
    <t xml:space="preserve">Develop new approach to training </t>
  </si>
  <si>
    <t>Optimising our services and assets</t>
  </si>
  <si>
    <t>Carry out an options appraisal of potential shared services</t>
  </si>
  <si>
    <t>Carry out a review of our land and property investments</t>
  </si>
  <si>
    <t>Working in partnership with the County Council and other districts</t>
  </si>
  <si>
    <t>Receive an update on the ‘single front door’ policy so that residents across Staffordshire gain an improved experience interacting with local government</t>
  </si>
  <si>
    <t>Annual review of the constitution</t>
  </si>
  <si>
    <t>Members of the constitution cross-party working group to meet to establish changes to the constitution</t>
  </si>
  <si>
    <t xml:space="preserve">Progressing to Digital Maturity </t>
  </si>
  <si>
    <t>Upgrade the Council website and go live with new version</t>
  </si>
  <si>
    <t>Feasibility study regarding an Elected Member intranet</t>
  </si>
  <si>
    <t>Options appraisal on use of chat-bot and live chat options</t>
  </si>
  <si>
    <t>Map based reporting options appraisal</t>
  </si>
  <si>
    <t>Council ‘app’ options appraisal</t>
  </si>
  <si>
    <t>Set Budget for Council Approval</t>
  </si>
  <si>
    <t xml:space="preserve">Maintaining Good Financial Stewardship </t>
  </si>
  <si>
    <t>Carry out a review of our Treasury Management approach and strategy</t>
  </si>
  <si>
    <t>ICT, HR and selective licensing Business Support</t>
  </si>
  <si>
    <t>Continue with and review strategic support to OWBC: Provide health-check on service</t>
  </si>
  <si>
    <t>Licensing and Enforcement Activities - CCTV</t>
  </si>
  <si>
    <t>Renew the CCTV contracts for monitoring and maintenance of fixed site CCTV cameras and procure a new ‘fleet’ of fixed site digital CCTV cameras and infrastructure</t>
  </si>
  <si>
    <t>Monitor the effectiveness of the mobile CCTV provision including the number of camera deployments. Report to Cabinet</t>
  </si>
  <si>
    <t>Car Parking related initiatives</t>
  </si>
  <si>
    <t>Initiate a rolling programme of condition surveys across Council car parks. Year 1 to include Central Area (Coopers) and Trinity Road</t>
  </si>
  <si>
    <t>Provide a fifth year report on the current Selective Licensing Scheme</t>
  </si>
  <si>
    <t>Subject to consultation consider the re-designation of the pilot Selective Licensing Scheme pilot in Anglesey ward</t>
  </si>
  <si>
    <t>Subject to consultation, consider the designation of a new Selective Licensing Scheme. Potential areas to include; Goodman Street, Waterloo Street, Uxbridge Street, Shobnall Road and Branston Road</t>
  </si>
  <si>
    <t xml:space="preserve">Continue to Maximise Income Through Effective Collection Processes (Previously BVPI 9) </t>
  </si>
  <si>
    <t xml:space="preserve">Collection Rates of Council Tax : 98% </t>
  </si>
  <si>
    <t xml:space="preserve">Continue to Maximise Income Through Effective Collection Processes (Previously BVPI 10) </t>
  </si>
  <si>
    <t>Collection Rates of NNDR: 99%</t>
  </si>
  <si>
    <t>Continue to Maximise Income Through Effective Collection Processes:</t>
  </si>
  <si>
    <t>Former Years Arrears for: Council Tax: £2,500,000</t>
  </si>
  <si>
    <t>Former Years Arrears for: NNDR: £1,500,000</t>
  </si>
  <si>
    <t>Former Years Arrears for: Sundry Debts: £80,000</t>
  </si>
  <si>
    <t xml:space="preserve">Time Taken to Process Benefit New Claims and Change Events (Previously NI 181)
Average time: 4.5 days  </t>
  </si>
  <si>
    <t>Review the new Local Council Tax Reduction Scheme</t>
  </si>
  <si>
    <t>Local Council Tax Reduction Scheme reviewed</t>
  </si>
  <si>
    <t>Review Court Fees and Charges</t>
  </si>
  <si>
    <t>Review concluded</t>
  </si>
  <si>
    <t>Maintain High Standard Sports and Leisure Facilities</t>
  </si>
  <si>
    <t>Work with Everyone Active to develop an improvement plan for the outlying pitch changing facilities</t>
  </si>
  <si>
    <t>Develop marketing plans for each service area and achieve 85% completion of 22/23 marketing targets</t>
  </si>
  <si>
    <t>Provide a six monthly Grounds Maintenance contract performance report for April – September</t>
  </si>
  <si>
    <t xml:space="preserve">Facilities initiatives </t>
  </si>
  <si>
    <t>Commence a rolling programme of building condition surveys focusing on three buildings i.e. Town Hall and Cemetery estate in 2022/23</t>
  </si>
  <si>
    <t>Review the existing Cemetery fees and charges</t>
  </si>
  <si>
    <t>2022-23 Corporate Plan Reporting Spreadsheet</t>
  </si>
  <si>
    <t>End of Year 2022/23</t>
  </si>
  <si>
    <t>Following the completion of the place branding exercise</t>
  </si>
  <si>
    <t>Quarterly up to March 2023</t>
  </si>
  <si>
    <t>Post RSI 5 outcome</t>
  </si>
  <si>
    <t>Final SPD approved March 2023</t>
  </si>
  <si>
    <t>Post Peer Review Report</t>
  </si>
  <si>
    <t xml:space="preserve">TBA  </t>
  </si>
  <si>
    <t>By the statutory deadline</t>
  </si>
  <si>
    <t>As required by OWBC</t>
  </si>
  <si>
    <t>Quarterly</t>
  </si>
  <si>
    <t>Leisure, Amenities and Tourism</t>
  </si>
  <si>
    <t>Regeneration and Planning Policy</t>
  </si>
  <si>
    <t>Environment and Housing</t>
  </si>
  <si>
    <t>Programmes and Transformation</t>
  </si>
  <si>
    <t>Communities &amp; Open Spaces</t>
  </si>
  <si>
    <t>Corporate and Commercial</t>
  </si>
  <si>
    <t>Markets</t>
  </si>
  <si>
    <t>Planning</t>
  </si>
  <si>
    <t>Enterprise</t>
  </si>
  <si>
    <t>Licensing and Enforcement</t>
  </si>
  <si>
    <t>Environmental Health</t>
  </si>
  <si>
    <t>Brewhouse, Arts and Town Hall</t>
  </si>
  <si>
    <t>Environment</t>
  </si>
  <si>
    <t>Housing</t>
  </si>
  <si>
    <t>Marketing</t>
  </si>
  <si>
    <t>Planning Policy</t>
  </si>
  <si>
    <t>Human Resources, Payroll &amp; Payments</t>
  </si>
  <si>
    <t>Sal Khan</t>
  </si>
  <si>
    <t>Assets and Estate Management</t>
  </si>
  <si>
    <t>Legal</t>
  </si>
  <si>
    <t>FMU</t>
  </si>
  <si>
    <t>ICT</t>
  </si>
  <si>
    <t>Revenues, Benefits and Customer Contacts</t>
  </si>
  <si>
    <t>Daniel Arnold</t>
  </si>
  <si>
    <t>Michael Hovers</t>
  </si>
  <si>
    <t>James Abbott</t>
  </si>
  <si>
    <t>Sara Gummerson</t>
  </si>
  <si>
    <t>Naomi Perry</t>
  </si>
  <si>
    <t>Thomas Deery</t>
  </si>
  <si>
    <t>Margaret Woolley</t>
  </si>
  <si>
    <t>Rachel Liddle</t>
  </si>
  <si>
    <t>Chloe Brown</t>
  </si>
  <si>
    <t>Paul Farrer</t>
  </si>
  <si>
    <t>Brett Atkinson</t>
  </si>
  <si>
    <t>Nathan Gallagher</t>
  </si>
  <si>
    <t>John Teasdale</t>
  </si>
  <si>
    <t>Lisa Turner</t>
  </si>
  <si>
    <t>Guy Thornhill</t>
  </si>
  <si>
    <t>Environment and Health &amp; Wellbeing</t>
  </si>
  <si>
    <t>Mark Rizk</t>
  </si>
  <si>
    <t>Andy O'Brien</t>
  </si>
  <si>
    <t>Reference Number</t>
  </si>
  <si>
    <t>CR01</t>
  </si>
  <si>
    <t>CR02</t>
  </si>
  <si>
    <t>CR03</t>
  </si>
  <si>
    <t>CR04</t>
  </si>
  <si>
    <t>CR05</t>
  </si>
  <si>
    <t>CR06</t>
  </si>
  <si>
    <t>CR07</t>
  </si>
  <si>
    <t>CR08</t>
  </si>
  <si>
    <t>CR09</t>
  </si>
  <si>
    <t>CR10</t>
  </si>
  <si>
    <t>CR11</t>
  </si>
  <si>
    <t>CR12</t>
  </si>
  <si>
    <t>CR13</t>
  </si>
  <si>
    <t>CR14</t>
  </si>
  <si>
    <t>CR15</t>
  </si>
  <si>
    <t>CR16</t>
  </si>
  <si>
    <t>CR17</t>
  </si>
  <si>
    <t>CR18</t>
  </si>
  <si>
    <t>CR19</t>
  </si>
  <si>
    <t>CR20a</t>
  </si>
  <si>
    <t>CR20b</t>
  </si>
  <si>
    <t>CR20c</t>
  </si>
  <si>
    <t>CR21</t>
  </si>
  <si>
    <t>CR22</t>
  </si>
  <si>
    <t>CR23a</t>
  </si>
  <si>
    <t>CR23b</t>
  </si>
  <si>
    <t>CR24</t>
  </si>
  <si>
    <t>CR25</t>
  </si>
  <si>
    <t>CR26</t>
  </si>
  <si>
    <t>CR27</t>
  </si>
  <si>
    <t>CR28</t>
  </si>
  <si>
    <t>CR29</t>
  </si>
  <si>
    <t>CR30</t>
  </si>
  <si>
    <t>CR31</t>
  </si>
  <si>
    <t>CR32</t>
  </si>
  <si>
    <t>CR33</t>
  </si>
  <si>
    <t>CR34</t>
  </si>
  <si>
    <t>CR35</t>
  </si>
  <si>
    <t>CR36</t>
  </si>
  <si>
    <t>CR37</t>
  </si>
  <si>
    <t>CR38</t>
  </si>
  <si>
    <t>CR39</t>
  </si>
  <si>
    <t>EHW01</t>
  </si>
  <si>
    <t>EHW02</t>
  </si>
  <si>
    <t>EHW03</t>
  </si>
  <si>
    <t>EHW04</t>
  </si>
  <si>
    <t>EHW05</t>
  </si>
  <si>
    <t>EHW06</t>
  </si>
  <si>
    <t>EHW07</t>
  </si>
  <si>
    <t>EHW08</t>
  </si>
  <si>
    <t>EHW09</t>
  </si>
  <si>
    <t>EHW10</t>
  </si>
  <si>
    <t>EHW11</t>
  </si>
  <si>
    <t>EHW12</t>
  </si>
  <si>
    <t>EHW13</t>
  </si>
  <si>
    <t>EHW14</t>
  </si>
  <si>
    <t>EHW15a</t>
  </si>
  <si>
    <t>EHW15b</t>
  </si>
  <si>
    <t>EHW15c</t>
  </si>
  <si>
    <t>EHW15d</t>
  </si>
  <si>
    <t>EHW16</t>
  </si>
  <si>
    <t>EHW17</t>
  </si>
  <si>
    <t>EHW18</t>
  </si>
  <si>
    <t>EHW19</t>
  </si>
  <si>
    <t>EHW20</t>
  </si>
  <si>
    <t>EHW21</t>
  </si>
  <si>
    <t>EHW22</t>
  </si>
  <si>
    <t>EHW23</t>
  </si>
  <si>
    <t>EHW24</t>
  </si>
  <si>
    <t>EHW25</t>
  </si>
  <si>
    <t>EHW26</t>
  </si>
  <si>
    <t>EHW27</t>
  </si>
  <si>
    <t>EHW28</t>
  </si>
  <si>
    <t>EHW29</t>
  </si>
  <si>
    <t>EHW30</t>
  </si>
  <si>
    <t>EHW31</t>
  </si>
  <si>
    <t>EHW32</t>
  </si>
  <si>
    <t>EHW33</t>
  </si>
  <si>
    <t>EHW34</t>
  </si>
  <si>
    <t>EHW35</t>
  </si>
  <si>
    <t>EHW36</t>
  </si>
  <si>
    <t>EHW37</t>
  </si>
  <si>
    <t>EHW38</t>
  </si>
  <si>
    <t>EHW39</t>
  </si>
  <si>
    <t>EHW40</t>
  </si>
  <si>
    <t>EHW41</t>
  </si>
  <si>
    <t>EHW42</t>
  </si>
  <si>
    <t>EHW43</t>
  </si>
  <si>
    <t>VFM01</t>
  </si>
  <si>
    <t>VFM02</t>
  </si>
  <si>
    <t>VFM03</t>
  </si>
  <si>
    <t>VFM04</t>
  </si>
  <si>
    <t>VFM05</t>
  </si>
  <si>
    <t>VFM06</t>
  </si>
  <si>
    <t>VFM07</t>
  </si>
  <si>
    <t>VFM08</t>
  </si>
  <si>
    <t>VFM09</t>
  </si>
  <si>
    <t>VFM10</t>
  </si>
  <si>
    <t>VFM11</t>
  </si>
  <si>
    <t>VFM12</t>
  </si>
  <si>
    <t>VFM13</t>
  </si>
  <si>
    <t>VFM14</t>
  </si>
  <si>
    <t>VFM15</t>
  </si>
  <si>
    <t>VFM16</t>
  </si>
  <si>
    <t>VFM17</t>
  </si>
  <si>
    <t>VFM18</t>
  </si>
  <si>
    <t>VFM19</t>
  </si>
  <si>
    <t>VFM20</t>
  </si>
  <si>
    <t>VFM21</t>
  </si>
  <si>
    <t>VFM22</t>
  </si>
  <si>
    <t>VFM23</t>
  </si>
  <si>
    <t>VFM24</t>
  </si>
  <si>
    <t>VFM25a</t>
  </si>
  <si>
    <t>VFM25b</t>
  </si>
  <si>
    <t>VFM25c</t>
  </si>
  <si>
    <t>VFM26</t>
  </si>
  <si>
    <t>VFM27</t>
  </si>
  <si>
    <t>VFM28</t>
  </si>
  <si>
    <t>VFM29a</t>
  </si>
  <si>
    <t>VFM29b</t>
  </si>
  <si>
    <t>VFM29c</t>
  </si>
  <si>
    <t>VFM30</t>
  </si>
  <si>
    <t>VFM31</t>
  </si>
  <si>
    <t>VFM32</t>
  </si>
  <si>
    <t>VFM33</t>
  </si>
  <si>
    <t>VFM34</t>
  </si>
  <si>
    <t>VFM35</t>
  </si>
  <si>
    <t>VFM36</t>
  </si>
  <si>
    <t>VFM37</t>
  </si>
  <si>
    <t>Finance, Treasury Management &amp; Communications</t>
  </si>
  <si>
    <t>Communities and Housing Standards</t>
  </si>
  <si>
    <t>Tourism and Cultural Development</t>
  </si>
  <si>
    <t>Environment and Climate Change</t>
  </si>
  <si>
    <t>Leader &amp; Economic Growth</t>
  </si>
  <si>
    <t>Quarter One (2022/23)</t>
  </si>
  <si>
    <t>Quarter Two (2022/23)</t>
  </si>
  <si>
    <t>Quarter Three (2022/23)</t>
  </si>
  <si>
    <t>Leader and Economic Growth</t>
  </si>
  <si>
    <t>Finance, Treasury Management and Communications</t>
  </si>
  <si>
    <t>QUARTER ONE (April - June 2022)</t>
  </si>
  <si>
    <t>QUARTER TWO (July - Sept 2022)</t>
  </si>
  <si>
    <t>QUARTER THREE (Oct - Dec 2022)</t>
  </si>
  <si>
    <t>QUARTER FOUR (Jan - Mar 2023)</t>
  </si>
  <si>
    <t>LEADER OF THE COUNCIL AND ECONOMIC GROWTH PORTFOLIO</t>
  </si>
  <si>
    <t>TOURISM AND CULTURAL DEVELOPMENT</t>
  </si>
  <si>
    <t>COMMUNITIES AND HOUSING STANDARDS</t>
  </si>
  <si>
    <t>ENVIRONMENT AND CLIMATE CHANGE</t>
  </si>
  <si>
    <t>FINANCE, TREASURY MANAGEMENT &amp; COMMUNICATIONS</t>
  </si>
  <si>
    <t>End of year forecast as at end of Q1</t>
  </si>
  <si>
    <t>End of year forecast as at end of Q2</t>
  </si>
  <si>
    <t>End of year forecast as at end of Q3</t>
  </si>
  <si>
    <t xml:space="preserve">Cumulative Annual Outturn </t>
  </si>
  <si>
    <t>CP Order</t>
  </si>
  <si>
    <t>% HBOPs recovered During the Year: 90%</t>
  </si>
  <si>
    <t>% of HBOPS Processed and on Payment Arrangement: 90%</t>
  </si>
  <si>
    <t>In Year HBOPs Recovered During the Year: 50%</t>
  </si>
  <si>
    <t xml:space="preserve">Climate change actions are being monitored to provide an interim report. </t>
  </si>
  <si>
    <t>Timescales are currently being collated to form part of the DFG review report.</t>
  </si>
  <si>
    <t>Following a report approved in May, Blackpool Street, Branston Road, Broadway Street, Goodman Street, King Street, Queen Street, Shobnall Street, Uxbridge Street and Waterloo Street have been designated as a selective licensing scheme. The selective licensing designation will come into force on 11 September 2022.</t>
  </si>
  <si>
    <t>Officers have been tasked through appraisals to meet target</t>
  </si>
  <si>
    <t>Meeting held June 2022 with County. Awaiting formal response to proposals</t>
  </si>
  <si>
    <t>The consultation has taken placed and closed on 20.06.2022. Officers have a meeting on 30.06.22 to go through responses.</t>
  </si>
  <si>
    <t>The new cameras and maintenance specification is due to go out week commencing 4 July 2022.</t>
  </si>
  <si>
    <t>Consultation on draft closed June 2022. Considering feedback</t>
  </si>
  <si>
    <t xml:space="preserve">Draft document published and being used </t>
  </si>
  <si>
    <t xml:space="preserve">Draft document being prepared for August cabinet </t>
  </si>
  <si>
    <t>New recycling service commenced 2 May 2022.</t>
  </si>
  <si>
    <t>2022/23 Marketing Plans have been developed for each service.</t>
  </si>
  <si>
    <t>Good progress made in preparing the draft accounts. Awaiting final pension report from actuary in order to finalise.</t>
  </si>
  <si>
    <t>Work to commence in Quarter 2 onwards</t>
  </si>
  <si>
    <t>3.8 days</t>
  </si>
  <si>
    <t>4 days</t>
  </si>
  <si>
    <t>Target is annual</t>
  </si>
  <si>
    <t>This target is annual and is the net arrears figure (net of arrangements and identified write offs)</t>
  </si>
  <si>
    <t>50 Applications 45 within time = 90%</t>
  </si>
  <si>
    <t>136 Applications 130 within time = 96%</t>
  </si>
  <si>
    <t xml:space="preserve">Not yet due surveys run April - July </t>
  </si>
  <si>
    <t xml:space="preserve">Negotiations with land owners has progressed and an EDR will come forward in July.  </t>
  </si>
  <si>
    <t xml:space="preserve">The place narrative work with Thinking Place is now underway. Updates on this will be provided later in the year. </t>
  </si>
  <si>
    <t>A new approach for implementation of a customer feedback post decision notice has been approved.</t>
  </si>
  <si>
    <t>Report has been prepared, and is due for a Cabinet decision on 19 July 2022.</t>
  </si>
  <si>
    <t>There were 71 initial decisions made in Q1 with an average of 0 days between appointment and decision.</t>
  </si>
  <si>
    <t>2 days</t>
  </si>
  <si>
    <t>5 days</t>
  </si>
  <si>
    <t>There were 5 'key to key' instances across Q1 with a total of 6 working days, providing an average of 0.8 days</t>
  </si>
  <si>
    <t xml:space="preserve">Discussions have started with Procurement about the best approach to obtaining the building </t>
  </si>
  <si>
    <t>.</t>
  </si>
  <si>
    <t>This objective is being procured with VFM19 due to the synergies between them both.</t>
  </si>
  <si>
    <t>VCSE Strategy (CR07) has established the Council's approach to developing a forum and the interface with the sector.</t>
  </si>
  <si>
    <t>Market Hall Working Group has been formed, and the process has been divided into three distinct phases:1- Listening (A consultation piece involving focus groups and pop up sessions). 2- Research (examining best practice and any relevant data) 3-Report writing</t>
  </si>
  <si>
    <t>Quarter 1 sees the conclusion of the listening phase and the commencement of the research element in qtr 2</t>
  </si>
  <si>
    <t>New recycling service communications carried out via leaflets, bin tags, website, social media and animated video.  New video in production.</t>
  </si>
  <si>
    <t>46% estimated as not all data received</t>
  </si>
  <si>
    <t>130kg estimated as not all data received</t>
  </si>
  <si>
    <t>526kg</t>
  </si>
  <si>
    <t xml:space="preserve">Two panel meetings have been held since the fund was launched. A total of 4 applications have been reviewed to date at the panel meetings. A total of £30,000 of grant was requested; of this £25,000 of grant approved and committed and a total of £66,365 of private sector investment will be levered.  £75,000 of funding remains to be committed.. </t>
  </si>
  <si>
    <t>Progressing well but review and implementation of changes may not take place until December Council, rather than September Council.</t>
  </si>
  <si>
    <t xml:space="preserve">Quotations from a range of suppliers have been received in quarter 1. The selected supplier will be signed off by an EDR in July at which point the project will commence.  </t>
  </si>
  <si>
    <t>Report to CMT on July 20th</t>
  </si>
  <si>
    <t>Brewhouse on Tour dates planned to take place from 30 July - 3 September. Roundabout Theatre in Burton 8-11 September.</t>
  </si>
  <si>
    <t>App commissioned to support Burton Ale Trail. Street Theatre to take place across the weekend 3- 4 September.</t>
  </si>
  <si>
    <t>1 live event taken place at Burton Town Hall. Open exhibition delivered digitally.</t>
  </si>
  <si>
    <t>This has been started, organising training sessions for committee members and other members using LGA events and specific in house sessions. It is an item with an ongoing progression throughout the year, but expecting for the most intensive activity to be during quarter 3.</t>
  </si>
  <si>
    <t>Quarter average 11 days</t>
  </si>
  <si>
    <t xml:space="preserve">The survey content is being developed for agreement prior to the survey being launched in August in line with the target. </t>
  </si>
  <si>
    <t xml:space="preserve">Annual Communications Plan Developed and approved in May 2022 by EDR. </t>
  </si>
  <si>
    <t xml:space="preserve">Content migration is underway and refreshed styling being developed. </t>
  </si>
  <si>
    <t>Everyone Active continue to represent the Council as part of the Better Health Staffordshire initiative.  The Leisure Services Contract Officer, Everyone Active Contract Manager and an Active Communities staff member all attended the 3rd workshop by the initiative’s working group on Tuesday 28th June, aimed at identifying and mapping the causes of obesity.  The group will move to the action planning phase following the review of the outcomes from the workshops.</t>
  </si>
  <si>
    <t xml:space="preserve">The East Staffordshire Play Day will take place between 11am and 3pm on Wednesday 24th August and will include a wide range of free activities, including inflatables, ‘have-a-go’ sports, ‘Magical Mayhem’ circus skills, and various community groups offering their own activities and information.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</si>
  <si>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A Football Foundation application will also be submitted separately to enhance facilities at Meadow Lane. </t>
  </si>
  <si>
    <t>Kelly Kerr-Delworth</t>
  </si>
  <si>
    <t>Place branding exercise work is ongoing.</t>
  </si>
  <si>
    <t>Monthly footfall compiled from Burton Shopping Centres, Car Parks and manual High Street counts into a shared spreadsheet to track and compare from 2021 - 2022</t>
  </si>
  <si>
    <t>Quarter 1 
(April - June 2022)</t>
  </si>
  <si>
    <t>QUARTER 1: April - June 2022</t>
  </si>
  <si>
    <t>QUARTER 2: July - September 2022</t>
  </si>
  <si>
    <t>Quarter 2 
(July - September 2022)</t>
  </si>
  <si>
    <t>Year to date
(April - Sept 2022)</t>
  </si>
  <si>
    <t>Quarter 3
(October - December 2022)</t>
  </si>
  <si>
    <t>QUARTER 3: October - December 2022</t>
  </si>
  <si>
    <t>Year to date
(April - Dec 2022)</t>
  </si>
  <si>
    <t>QUARTER 4: January - March 2023</t>
  </si>
  <si>
    <t>Quarter 4
(January - March 2023)</t>
  </si>
  <si>
    <t>Steps are being taken to improve the website and make greater user of the "virtual space" to keep people informed about the Cemetery, the regulations and prices.</t>
  </si>
  <si>
    <t>Report has been prepared and is due to be heard by Cabinet in August.</t>
  </si>
  <si>
    <t>Training delivered in April and May.</t>
  </si>
  <si>
    <t>One developer forum was held in April and one is planned for August.</t>
  </si>
  <si>
    <t>Our delivery partner Staffordshire University has now withdrawn from this project. Discussions on next steps will take place with Government.</t>
  </si>
  <si>
    <t>Two events scheduled for July with more throughout the rest of the year.</t>
  </si>
  <si>
    <t>Update report to Strategic Digital Group on Assure Migration progress</t>
  </si>
  <si>
    <t>Policy is currently at reading through stage to compare with new guidance.</t>
  </si>
  <si>
    <t>First meeting held in April 2022 and second in diary. Fixed Penalty Notices have been issued by the Police for PSPO alcohol offences.</t>
  </si>
  <si>
    <t>Revised and updated strategy has been approved and is available in the shared work area for colleagues. Completed in May.</t>
  </si>
  <si>
    <t>Continued monitoring and partnership working with Staffordshre County Council for Covid outbreaks</t>
  </si>
  <si>
    <t>In Quarter 1 we commenced the In Bloom campaign and delivered a campaign to promote the Big Burton Jubilee.</t>
  </si>
  <si>
    <t>Judging taking place in the early part of Quarter 2.</t>
  </si>
  <si>
    <t>Judging took place in Qtr 1 and the early days of Qtr 2.</t>
  </si>
  <si>
    <t>Options have been presented to the Deputy Leader and the decision has been take to procure a pre-fabricated modular building to replace the existing toilets.</t>
  </si>
  <si>
    <t>Dog bag dispensers and location poles have been ordered from a supplier ready for install. Locations have been agreed between Open Spaces and Civil Enforcement.</t>
  </si>
  <si>
    <t>Officers have completed a visual inspection and have contrasted this with installation dates, budget spend and annual play inspection reports. This has consequently highlighted play areas in need of modernisation.</t>
  </si>
  <si>
    <t>EDR signed 8th July.</t>
  </si>
  <si>
    <t xml:space="preserve">Meeting with Leader, CEO and Liz Eastaugh has taken place alongside a consideration of land and property investments. Positive outlook. Consideration now turning towards utilisation of land. </t>
  </si>
  <si>
    <t>A feasibility study on an elected member intranet has been completed and was presented to the Strategic Digital Group in May and approved by EDR in June. A Member intranet will be developed in the new year using MS SharePoint.</t>
  </si>
  <si>
    <t xml:space="preserve">Options appraisal presented to Digital Group Members in May. </t>
  </si>
  <si>
    <t>The group is developing a business case for the use of chat bots.</t>
  </si>
  <si>
    <t>The Mobile Enforcement Officer is submitting weekly reports on the situation with mobile camera deployment</t>
  </si>
  <si>
    <t xml:space="preserve">The procurement team has identified a potential framework agreement the Council can utilise to deliver these services </t>
  </si>
  <si>
    <t>A small officer working has been formed to devise a specification for the premises and car parks identified.</t>
  </si>
  <si>
    <t xml:space="preserve">
The Leisure Contract Performance Report remains a focus element of the Scrutiny Committee focused on Value for Money Council Services.
</t>
  </si>
  <si>
    <t>Quarterly Performance Report presented to Corporate Management Team, Leader and Deputy Leaders, LAG / LOAG / IAAG and VFM Scrutiny Committee during May and June 2022. 
Quarter 1 saw another consistent performance from the Leisure Operator with no major issues raised.</t>
  </si>
  <si>
    <t>VCSE Strategy has been developed that explores the shape of the voluntary sector and the role ESBC has and can play within it. Considered at July LDL meeting for sign off by EDR.</t>
  </si>
  <si>
    <t>Reported to CMT and LDL in June.</t>
  </si>
  <si>
    <t>The Council has continued to work with the Commonwealth Lead Officers' Group to support the organisation of the Games.
East Staffordshire hosted the Queen’s Baton Relay on Wednesday 20th July.  Uttoxeter Leisure Centre provided the location for a series of photographs with local swimming club, Dove Valley, before the Queen’s Baton then relaying around Bramshall Park.  The Baton then moved on to St. George’s Park for a celebration with local schools, finishing with a relay around the grounds.</t>
  </si>
  <si>
    <t>The inaugural forum took place in May with partners welcoming the Council's commitment to promoting tourism and local enterprises.</t>
  </si>
  <si>
    <t>Discussions with Molson Coors have been ongoing.  An EDR will be taken forward in July regarding the acquisition of land.</t>
  </si>
  <si>
    <t>Work is progressing with SCC and Amey on feasibility investigations for the bus and car park.</t>
  </si>
  <si>
    <t xml:space="preserve">Tender exercise commenced for the procurement of 3 EV Chargepoints in Coopers Square Carpark. Submissions due in July.   </t>
  </si>
  <si>
    <t>The Jubilee Weekend took place  on 3 - 4 June 2022 on the Washlands and Stapenhill gardens. Big Burton Carousel sculpture trail running from June - September.</t>
  </si>
  <si>
    <t>Date for trial of electric mechanical sweeper agreed. Date for Refuse vehicle to be determined.</t>
  </si>
  <si>
    <t>Physical Monitoring completed</t>
  </si>
  <si>
    <t>Research has commenced on the fees and charges for Staffordshire authorities, geographical neighbours (South Derbyshire &amp; North West Leicestershire) and the most similar group cohort</t>
  </si>
  <si>
    <t>Short Term Sickness Days Average number per FTE: 3.22 days</t>
  </si>
  <si>
    <t>0.91 days short term sickness days per FTE (excluding unpaid and pregnancy related)</t>
  </si>
  <si>
    <t>Q1 sickness in 2021 was 0.48 days</t>
  </si>
  <si>
    <t>Grant designed and signed off for launch by EDR on 30th June.</t>
  </si>
  <si>
    <t>The tender exercise for the Washlands project has now concluded. Unfortunately both submissions were over budget and so the project cannot progress at this time. A report detailing next steps will be brought to Members in due course.</t>
  </si>
  <si>
    <t>This target is annual.</t>
  </si>
  <si>
    <t>Steve Woods</t>
  </si>
  <si>
    <t>Sue Norcott</t>
  </si>
  <si>
    <t>Timetable and provisional assumptions agreed with Deputy Leader.</t>
  </si>
  <si>
    <t>External Audit work delayed due to staff absences as Grant Thornton, despite significant additional testing this remains on track to be complete by the statutory deadline - end of November.</t>
  </si>
  <si>
    <t>maintenance and new cameras ready to award contarct. Monitoring just going out to tender.</t>
  </si>
  <si>
    <t xml:space="preserve">Report being prepared based on monthly reports being generated. </t>
  </si>
  <si>
    <t>Residents survey about communications launched in August and closed on 2nd October. The findings are being collated and will be used to inform our approach to communications going forwards.</t>
  </si>
  <si>
    <t>Annual Communications Plan developed and approved in May 2022.</t>
  </si>
  <si>
    <t>Place branding work is ongoing</t>
  </si>
  <si>
    <t>Officers are preparing an options appraisal for a Council app. This will be presented to the Strategic Digital Group later this calendar year.</t>
  </si>
  <si>
    <t>Options were presented to the Strategic Digital Group in August 2022. The group agreed to utilise the existing mapping system used for our online mapping system to allow users to report location based issues via clicking on a map or using their location data.</t>
  </si>
  <si>
    <t>On target to be achieved. It is currently being worked on by the Senior Enforcement Officer</t>
  </si>
  <si>
    <t xml:space="preserve">Partnership group has been set up and has met on two occasions this financial year. Subsequent meetings are arranged to address site specific reports of ASB. </t>
  </si>
  <si>
    <t>Three initiatives have been undertaken most recently at East Midlands Airport and Loxeley Hall with partner agencies.</t>
  </si>
  <si>
    <t>Confirmation of ranks and approval from County have been received.</t>
  </si>
  <si>
    <t>A review and consultation exercise has been undertaken. The results of the process is due before CMT on 19th October and subject to approval and EDR the new and existing PSPO's can be adopted in November.</t>
  </si>
  <si>
    <t>Review of the Procurement Policy has been completed and is due to be presented to the October Cabinet meeting.</t>
  </si>
  <si>
    <t>Staffordshire FA have have put together a short information booklet to help provide some background to the Sports Hub project which it can share with potential partners, requesting the following support: 
• Sponsorship and/or financial backing
• Access to grants, aid and additional capital investment
• Commercial support
• Local expertise and support
• Technical expertise and experience
• Innovative input
SFA have been working on indicative costings and project phasings</t>
  </si>
  <si>
    <t xml:space="preserve">The enhanced East Staffordshire Play Day took place between 11am and 3pm on Wednesday 24th August and included a wide range of free activities, including inflatables, ‘have-a-go’ sports, ‘Magical Mayhem’ circus skills, and various community groups offering their own activities and information. </t>
  </si>
  <si>
    <t xml:space="preserve">Quarterly Performance Report presented to Corporate Management Team, Leader and Deputy Leaders, LAG / LOAG / IAAG and VFM Scrutiny Committee during August and September 2022. </t>
  </si>
  <si>
    <t xml:space="preserve">A plan has been agreed  with the contractor for the improvement of the changing facilities, including the outlay of expenditure for both parties, order of priority, and timescales for the commencement of the works.  The improvement works will cover facilities at Eton Park, Pennycroft Lane, St. Luke’s and Edgehill.  </t>
  </si>
  <si>
    <t xml:space="preserve">Following approval of the plan works at Eton Park have been completed. </t>
  </si>
  <si>
    <t xml:space="preserve">Obesity can impact on a range of sectors including leisure, education, children’s and adult’s social care, economic development and healthcare. Stakeholders from these and other sectors, services and community representatives have been invited to participate in Better Health Staffordshire project to support healthy weight and tackle the causes of obesity. The Council and its leisure operator Everyone Active have been recognised as key partners to help influence these initial discussions. The project commence in December with three workshops to gain a shared understanding of how the high levels of obesity are impacting on us locally. This work is still underway and Everyone Active, East Staffordshire’s Active Communities team have been asked to remain on the panel to develop a working group. The project is now moving into the "action" phase and Everyone Active and Council colleagues are meeting in October 2022 to discuss next steps. 
</t>
  </si>
  <si>
    <t xml:space="preserve">Training provided in July and August </t>
  </si>
  <si>
    <t xml:space="preserve">Planning briefing held on 15th September  </t>
  </si>
  <si>
    <t xml:space="preserve">In person Developer Forum held on 28th September </t>
  </si>
  <si>
    <t xml:space="preserve">Project Scope and timescales agreed </t>
  </si>
  <si>
    <t>Two review meetings taken place</t>
  </si>
  <si>
    <t xml:space="preserve">SPD adopted </t>
  </si>
  <si>
    <t xml:space="preserve">Guidance drafted and finalised with sign off by EDR by end of October </t>
  </si>
  <si>
    <t xml:space="preserve">Consultation on draft document took place August - October </t>
  </si>
  <si>
    <t xml:space="preserve">Development Plan considered the annual review in September </t>
  </si>
  <si>
    <t xml:space="preserve">Report prepared and considered by Cabinet in July </t>
  </si>
  <si>
    <t xml:space="preserve">Adopted by Cabinet in August </t>
  </si>
  <si>
    <t>Surveys carried out April - July 0%</t>
  </si>
  <si>
    <t>Burton Ale Trail App commissioned and over 500 downloads on the Ale Trail Weekend.</t>
  </si>
  <si>
    <t xml:space="preserve">Interim report completed for cabinet in November </t>
  </si>
  <si>
    <t>Tender exercise completed for the installation of 3 EV charge points and sucessful supplier has been approved by Cabinet</t>
  </si>
  <si>
    <t xml:space="preserve">DFG report is currently being drafted for December Cabinet </t>
  </si>
  <si>
    <t xml:space="preserve">Contiuned monitoring of Covid Outbreaks and case numbers in partnership with Staffordshire County Council </t>
  </si>
  <si>
    <t xml:space="preserve">Selective Licensing report completed for Cabinet approval in November </t>
  </si>
  <si>
    <t>Selective Licensing Designation completed which came in to force on 12 September 2022</t>
  </si>
  <si>
    <t>Target is 4.5 days - annual target</t>
  </si>
  <si>
    <t>Review has taken place and recommended no change to the scheme for 2023/24.</t>
  </si>
  <si>
    <t>Review has taken place and recommended no change to the fees and charges as they benchmark well with other Staffs LA's and we are not looking to increase charge in current economic climate</t>
  </si>
  <si>
    <t>New service communications carried out via leaflets, bin tags, social media and website.  New video and recycling information also now live on website.  Promotion of national recycle week carried out in October too.</t>
  </si>
  <si>
    <t>41.99% estimated as not all data received</t>
  </si>
  <si>
    <t>126.45kg estimated as not all data received</t>
  </si>
  <si>
    <t>514kg</t>
  </si>
  <si>
    <t>6 application 6 within time = 100%</t>
  </si>
  <si>
    <t>64 application 61 within time = 95%</t>
  </si>
  <si>
    <t>152 applications 145 within time = 95%</t>
  </si>
  <si>
    <t>Ross White - in year collection rate required on current years charge</t>
  </si>
  <si>
    <t>Below £2.5M</t>
  </si>
  <si>
    <t>Below £1.5M</t>
  </si>
  <si>
    <t>On track to be achieved</t>
  </si>
  <si>
    <t>Some scrutiny training has already been delivered and further training is being arrranged.</t>
  </si>
  <si>
    <t>Update report produced, and due at LDL on 24 October 2022.</t>
  </si>
  <si>
    <t>Approach approved at Cabinet, and in the process of being implemented subject to the findings of a scrutiny review.</t>
  </si>
  <si>
    <t>The Council was successful in securing funding for all existing interventions to continue, and a successful procurement exercise has been completed in all cases.</t>
  </si>
  <si>
    <t>These Rough Sleeping Interventions are now funded and delivered under contract until March 2025.</t>
  </si>
  <si>
    <t>There were 71  initial decisions with an average of 0.44 days between appointment and decision.</t>
  </si>
  <si>
    <t>There were 5 key to key instances across Q2 with a total of 14 days, with an average of 2.8 days.</t>
  </si>
  <si>
    <t>Voluntary Sector Engageemnt strategy approved by Cabinet in Quarter 2</t>
  </si>
  <si>
    <t>Inaugural forum hosted by the Council in September</t>
  </si>
  <si>
    <t xml:space="preserve">Second year evaluation reported presented to CMT- October 19th and scheduled to be received by Cabinet in November. </t>
  </si>
  <si>
    <t>Cemetery website reviewed with more information provided to assist potential Cemetery visitors</t>
  </si>
  <si>
    <t>Report with logistics and associated options presented to and approved by Cabinet in Quarter 2</t>
  </si>
  <si>
    <t>MHWG report complete and is currently scheduled to received by Cabinet in December</t>
  </si>
  <si>
    <t>Burton achieved Silver Gilt award and were one of just four authorities in the Uk recognised for its work with children and young people</t>
  </si>
  <si>
    <t>Contract awarded in September</t>
  </si>
  <si>
    <t xml:space="preserve">Report presented to CMT on October 19th </t>
  </si>
  <si>
    <t>Cabinet took the decision to freeze charges for 12 months</t>
  </si>
  <si>
    <t>14 gold, 8 silver gilt, 1 silver, 1 advancing and 2 judges special recognition awards</t>
  </si>
  <si>
    <t>Target is annual. The figure of £1.2M was artificially high due to a £1.1M that was due from Staffs CC. That has now been fully repaid in the early days of QTR 3 and balance is now £37,055.80</t>
  </si>
  <si>
    <t>£1,197,447.8 (Now reduced to £37,055.80 in Oct, following payment from Staffs CC)</t>
  </si>
  <si>
    <t>We have commissioned architects for the Maltings development. As part of this, we will consult with residents in the New Year</t>
  </si>
  <si>
    <t>On track. Most of the money has been allocated</t>
  </si>
  <si>
    <t>This has been commissioned</t>
  </si>
  <si>
    <t>This project was withdrawn as Staffordshire Uni pulled out of the scheme</t>
  </si>
  <si>
    <t>Thinking place has been undertaking work on place branding on Burton On Trent and we will report on this.</t>
  </si>
  <si>
    <t>We are on track to deliver.  3 have been held, 3 more are planned</t>
  </si>
  <si>
    <t>The CPO has progressed on target.</t>
  </si>
  <si>
    <t>This is ongoing. We are currently awaiting results from the bus and car parking strategy from SCC</t>
  </si>
  <si>
    <t>The Acquisition was considered. The sale is on target to go through December 2022</t>
  </si>
  <si>
    <t>On track. We have met with Staffs Wildlife Trust and are commissioning a design team for the whole high street linkages project which this forms part of.</t>
  </si>
  <si>
    <t>Achieved 53% at QTR 2 and fully expect to meet EOY forecast of 50%</t>
  </si>
  <si>
    <t>5 Brewhouse on Tour events took place from 30 July - 3 September 2022, engaging over 400 families in arts and creative activities and outdoor performances. Roundabout flagship theatre event was cancelled on the day it was due to open due to the death of HM Queen Elizabeth on 8 September 2022.</t>
  </si>
  <si>
    <t>Big Burton Carousel trail finished on 11 September and charity audtion takes place on 17 September. Evaluation to be produced for end of Q3. In bloom outdoor art exhibition displayed on Station Street during July and August.</t>
  </si>
  <si>
    <t>2 live events programmed for Burton Town Hall in October 2022 and Spring 2023.</t>
  </si>
  <si>
    <t>Post and dispensers installed in Q2</t>
  </si>
  <si>
    <t>Procurement of modualr toilet building to take place across Q3 and Q4</t>
  </si>
  <si>
    <t>A prefered supplied has now been appoint to help deliver this project, which will be completed early in 2023.</t>
  </si>
  <si>
    <t>In quarter 2 we continued to promote In Bloom, as well as Summer Holidays Activities and Brewhouse On Tour events.</t>
  </si>
  <si>
    <t>2022/23 Marketing Plans have been developed for each service and we are on target to achieve over 85% of targets.</t>
  </si>
  <si>
    <t>Currently 11 days, may be achievable. Reminder to be sent to manager to approve invoice as soon as possible.</t>
  </si>
  <si>
    <t>Another meeting of the Working Group is due to take place soon. This may be the final meeting discuss the overall changes before the matter is considered by Full Council.</t>
  </si>
  <si>
    <t>Update on Single Front Door was provided to Strategic Digital Group in August 2022.  More updates will fllow as the County wide programme develops.</t>
  </si>
  <si>
    <t>Council will be considering a request for additional funding for the project in December 2022 following an unsuccessful tender exercise earlier in the year. If approved by Council, this project will be delivered during 2023.</t>
  </si>
  <si>
    <t>A meeting took place with the Leader and CEO with a view to cataloguing land in the Council’s ownership and considering how the Council may further utilise land which is currently without a use. Work is to start on this in the new year.</t>
  </si>
  <si>
    <t xml:space="preserve">Following further investigation an error has been discovered meaning the Quarter 1 figures reported for Major Applications were incorrect. The figure which should have been reported is 100%. It appears that the error occurred when pulling data out of the system, with the report set to pull out decisions made between 8 and 13 weeks and not to pull out decisions made in a longer timescale. The error has now been corrected. </t>
  </si>
  <si>
    <t>The staging version of the website has been developed and is undergoing testing.  During this phase officers have conducted multiple trials on the system built by the Council’s external developer and have discovered numerous issues with the test website which have continued to be escalated to the developer. This has delayed Council officers’ ability to fully test the new system and may subsequently delay the launch.  Once officers are satisfied with the test website, it will be transferred to a local environment for styling, content review, testing and approval. Earlier this year it was announced security support for the current website system has been extended to November 2023 meaning the current website will continue to operate securely post December if necessary, until the new site is ready to launch.</t>
  </si>
  <si>
    <t>Target for March 2023 is recommended for approval.</t>
  </si>
  <si>
    <t>Q1 = 0.89 days
Q2 = 0.92 days</t>
  </si>
  <si>
    <t>1.81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</si>
</sst>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8" formatCode="&quot;£&quot;#,##0.00;[Red]\-&quot;£&quot;#,##0.00"/>
    <numFmt numFmtId="164" formatCode="mmm\ yyyy"/>
    <numFmt numFmtId="165" formatCode="&quot;£&quot;#,##0.00"/>
    <numFmt numFmtId="166" formatCode="mmmm\ yyyy"/>
  </numFmts>
  <fonts count="67">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i/>
      <sz val="12"/>
      <color rgb="FF000000"/>
      <name val="Arial"/>
      <family val="2"/>
    </font>
    <font>
      <sz val="12"/>
      <color rgb="FFFF0000"/>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
      <b/>
      <sz val="11"/>
      <color rgb="FFFFFFFF"/>
      <name val="Arial"/>
      <family val="2"/>
    </font>
    <font>
      <b/>
      <sz val="11"/>
      <color rgb="FF000000"/>
      <name val="Arial"/>
      <family val="2"/>
    </font>
    <font>
      <b/>
      <i/>
      <sz val="11"/>
      <color theme="9" tint="-0.499984740745262"/>
      <name val="Arial"/>
      <family val="2"/>
    </font>
    <font>
      <b/>
      <i/>
      <sz val="11"/>
      <color rgb="FF4F6228"/>
      <name val="Arial"/>
      <family val="2"/>
    </font>
    <font>
      <b/>
      <sz val="11"/>
      <color theme="0" tint="-0.499984740745262"/>
      <name val="Arial"/>
      <family val="2"/>
    </font>
    <font>
      <b/>
      <sz val="9"/>
      <color indexed="81"/>
      <name val="Tahoma"/>
      <family val="2"/>
    </font>
    <font>
      <sz val="12"/>
      <name val="Calibri"/>
      <family val="2"/>
      <scheme val="minor"/>
    </font>
  </fonts>
  <fills count="28">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
      <patternFill patternType="solid">
        <fgColor rgb="FF525252"/>
        <bgColor rgb="FF000000"/>
      </patternFill>
    </fill>
    <fill>
      <patternFill patternType="solid">
        <fgColor theme="4" tint="-0.499984740745262"/>
        <bgColor rgb="FF000000"/>
      </patternFill>
    </fill>
  </fills>
  <borders count="7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57" fillId="0" borderId="0" applyFont="0" applyFill="0" applyBorder="0" applyAlignment="0" applyProtection="0"/>
  </cellStyleXfs>
  <cellXfs count="419">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34" fillId="6" borderId="41" xfId="0" applyFont="1" applyFill="1" applyBorder="1" applyAlignment="1">
      <alignment horizontal="center"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0" fillId="0" borderId="1" xfId="0" applyNumberFormat="1" applyBorder="1" applyAlignment="1" applyProtection="1">
      <alignment horizontal="left" vertical="center" wrapTex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3"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8" fillId="6" borderId="54" xfId="0" applyNumberFormat="1" applyFont="1" applyFill="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alignment wrapText="1"/>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0" fontId="8" fillId="6" borderId="54" xfId="0" applyNumberFormat="1" applyFont="1" applyFill="1" applyBorder="1" applyAlignment="1" applyProtection="1">
      <alignment horizontal="left" vertical="center" wrapText="1"/>
    </xf>
    <xf numFmtId="0" fontId="4" fillId="25" borderId="5" xfId="0" applyNumberFormat="1" applyFont="1" applyFill="1" applyBorder="1" applyAlignment="1" applyProtection="1">
      <alignment horizontal="center" vertical="center" wrapText="1"/>
    </xf>
    <xf numFmtId="0" fontId="0" fillId="0" borderId="54" xfId="0" applyNumberFormat="1" applyBorder="1" applyAlignment="1" applyProtection="1">
      <alignment horizontal="left" vertical="center" wrapText="1"/>
    </xf>
    <xf numFmtId="6" fontId="9" fillId="0" borderId="53" xfId="0" applyNumberFormat="1" applyFont="1" applyFill="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10" fillId="6" borderId="4" xfId="0" applyNumberFormat="1" applyFont="1" applyFill="1" applyBorder="1" applyAlignment="1" applyProtection="1">
      <alignment horizontal="left" vertical="center" wrapText="1"/>
    </xf>
    <xf numFmtId="49" fontId="59" fillId="6" borderId="53" xfId="1" applyNumberFormat="1" applyFont="1" applyFill="1" applyBorder="1" applyAlignment="1" applyProtection="1">
      <alignment horizontal="left" vertical="center" wrapText="1"/>
    </xf>
    <xf numFmtId="49" fontId="58" fillId="6" borderId="53" xfId="0"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53" fillId="6" borderId="53" xfId="0" applyNumberFormat="1" applyFont="1" applyFill="1" applyBorder="1" applyAlignment="1" applyProtection="1">
      <alignment horizontal="left" vertical="center" wrapText="1"/>
      <protection locked="0"/>
    </xf>
    <xf numFmtId="0" fontId="8" fillId="6" borderId="5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8" fontId="9" fillId="6" borderId="53" xfId="0" applyNumberFormat="1" applyFont="1" applyFill="1" applyBorder="1" applyAlignment="1" applyProtection="1">
      <alignment horizontal="left" vertical="center" wrapText="1"/>
      <protection locked="0"/>
    </xf>
    <xf numFmtId="10" fontId="9" fillId="6" borderId="53"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53" xfId="0" applyNumberFormat="1" applyFont="1" applyFill="1" applyBorder="1" applyAlignment="1" applyProtection="1">
      <alignment horizontal="left" vertical="center" wrapText="1"/>
      <protection locked="0"/>
    </xf>
    <xf numFmtId="9" fontId="9" fillId="6" borderId="53"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49" fontId="10" fillId="0" borderId="53" xfId="0" applyNumberFormat="1" applyFont="1" applyFill="1" applyBorder="1" applyAlignment="1" applyProtection="1">
      <alignment horizontal="left" vertical="center" wrapText="1"/>
    </xf>
    <xf numFmtId="165" fontId="8" fillId="6" borderId="60" xfId="0" applyNumberFormat="1" applyFont="1" applyFill="1" applyBorder="1" applyAlignment="1" applyProtection="1">
      <alignment horizontal="left" vertical="center" wrapText="1"/>
    </xf>
    <xf numFmtId="165" fontId="8" fillId="6" borderId="61" xfId="0" applyNumberFormat="1" applyFont="1" applyFill="1" applyBorder="1" applyAlignment="1" applyProtection="1">
      <alignment horizontal="left" vertical="center" wrapText="1"/>
    </xf>
    <xf numFmtId="0" fontId="9" fillId="6" borderId="0" xfId="0" applyNumberFormat="1" applyFont="1" applyFill="1" applyBorder="1" applyAlignment="1" applyProtection="1">
      <alignment horizontal="left" vertical="center" wrapText="1"/>
      <protection locked="0"/>
    </xf>
    <xf numFmtId="0" fontId="60" fillId="24" borderId="73" xfId="0" applyFont="1" applyFill="1" applyBorder="1" applyAlignment="1" applyProtection="1">
      <alignment horizontal="center" vertical="center" wrapText="1"/>
    </xf>
    <xf numFmtId="166" fontId="60" fillId="24" borderId="74" xfId="0" applyNumberFormat="1" applyFont="1" applyFill="1" applyBorder="1" applyAlignment="1" applyProtection="1">
      <alignment horizontal="center" vertical="center" wrapText="1"/>
    </xf>
    <xf numFmtId="0" fontId="15" fillId="20" borderId="71" xfId="0" applyFont="1" applyFill="1" applyBorder="1" applyAlignment="1" applyProtection="1">
      <alignment horizontal="center" vertical="center" wrapText="1"/>
    </xf>
    <xf numFmtId="0" fontId="60" fillId="26" borderId="73"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6" fillId="0" borderId="1" xfId="0" applyNumberFormat="1" applyFont="1" applyBorder="1" applyAlignment="1" applyProtection="1">
      <alignment horizontal="left" vertical="center" wrapText="1"/>
    </xf>
    <xf numFmtId="0" fontId="8" fillId="6" borderId="0" xfId="0" applyNumberFormat="1" applyFont="1" applyFill="1" applyAlignment="1" applyProtection="1">
      <alignment horizontal="left" vertical="top" wrapText="1"/>
    </xf>
    <xf numFmtId="0" fontId="8" fillId="6" borderId="0" xfId="0" applyNumberFormat="1" applyFont="1" applyFill="1" applyAlignment="1" applyProtection="1">
      <alignment vertical="center" wrapText="1"/>
    </xf>
    <xf numFmtId="0" fontId="55" fillId="0" borderId="1" xfId="0" applyNumberFormat="1" applyFont="1" applyBorder="1" applyAlignment="1" applyProtection="1">
      <alignment horizontal="left" vertical="center"/>
    </xf>
    <xf numFmtId="0" fontId="0" fillId="0" borderId="1" xfId="0" applyNumberFormat="1" applyBorder="1" applyAlignment="1" applyProtection="1">
      <alignment horizontal="left" vertical="center"/>
    </xf>
    <xf numFmtId="164" fontId="0" fillId="0" borderId="2" xfId="0" applyNumberFormat="1" applyBorder="1" applyAlignment="1" applyProtection="1">
      <alignment horizontal="center" vertical="center"/>
    </xf>
    <xf numFmtId="0" fontId="0" fillId="0" borderId="3" xfId="0" applyNumberFormat="1" applyBorder="1" applyAlignment="1" applyProtection="1">
      <alignment horizontal="center" vertical="center"/>
    </xf>
    <xf numFmtId="0" fontId="6" fillId="0" borderId="1" xfId="0" applyNumberFormat="1" applyFont="1" applyBorder="1" applyAlignment="1" applyProtection="1">
      <alignment horizontal="left" vertical="center"/>
    </xf>
    <xf numFmtId="0" fontId="0" fillId="0" borderId="1" xfId="0" applyNumberFormat="1" applyBorder="1" applyAlignment="1" applyProtection="1">
      <alignment horizontal="center" vertical="center"/>
    </xf>
    <xf numFmtId="0" fontId="0" fillId="0" borderId="0" xfId="0" applyNumberFormat="1" applyAlignment="1" applyProtection="1"/>
    <xf numFmtId="166" fontId="60" fillId="27" borderId="74" xfId="0" applyNumberFormat="1" applyFont="1" applyFill="1" applyBorder="1" applyAlignment="1" applyProtection="1">
      <alignment horizontal="center" vertical="center" wrapText="1"/>
    </xf>
    <xf numFmtId="0" fontId="64" fillId="20" borderId="71" xfId="0" applyFont="1" applyFill="1" applyBorder="1" applyAlignment="1" applyProtection="1">
      <alignment horizontal="center" vertical="center" wrapText="1"/>
    </xf>
    <xf numFmtId="0" fontId="4" fillId="25" borderId="5" xfId="0" applyNumberFormat="1" applyFont="1" applyFill="1" applyBorder="1" applyAlignment="1" applyProtection="1">
      <alignment horizontal="center" vertical="center" wrapText="1"/>
      <protection locked="0"/>
    </xf>
    <xf numFmtId="0" fontId="61" fillId="22" borderId="72" xfId="0" applyFont="1" applyFill="1" applyBorder="1" applyAlignment="1" applyProtection="1">
      <alignment vertical="center" wrapText="1"/>
    </xf>
    <xf numFmtId="0" fontId="61" fillId="23" borderId="72" xfId="0" applyFont="1" applyFill="1" applyBorder="1" applyAlignment="1" applyProtection="1">
      <alignment vertical="center" wrapText="1"/>
    </xf>
    <xf numFmtId="166" fontId="61" fillId="23" borderId="72" xfId="0" applyNumberFormat="1" applyFont="1" applyFill="1" applyBorder="1" applyAlignment="1" applyProtection="1">
      <alignment horizontal="center" vertical="center" wrapText="1"/>
    </xf>
    <xf numFmtId="0" fontId="10" fillId="0" borderId="53" xfId="0" applyFont="1" applyBorder="1" applyAlignment="1" applyProtection="1">
      <alignment vertical="center" wrapText="1"/>
    </xf>
    <xf numFmtId="0" fontId="8" fillId="6" borderId="4" xfId="0" applyNumberFormat="1" applyFont="1" applyFill="1" applyBorder="1" applyAlignment="1" applyProtection="1">
      <alignment horizontal="left" vertical="center" wrapText="1"/>
      <protection locked="0"/>
    </xf>
    <xf numFmtId="9" fontId="8" fillId="6" borderId="4" xfId="3"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left" vertical="center" wrapText="1"/>
      <protection locked="0"/>
    </xf>
    <xf numFmtId="10" fontId="8" fillId="6" borderId="54" xfId="0" applyNumberFormat="1" applyFont="1" applyFill="1" applyBorder="1" applyAlignment="1" applyProtection="1">
      <alignment horizontal="left" vertical="center" wrapText="1"/>
      <protection locked="0"/>
    </xf>
    <xf numFmtId="0" fontId="0" fillId="0" borderId="54" xfId="0" applyNumberFormat="1" applyBorder="1" applyAlignment="1" applyProtection="1">
      <alignment horizontal="left" vertical="center" wrapText="1"/>
      <protection locked="0"/>
    </xf>
    <xf numFmtId="9" fontId="9" fillId="6" borderId="4" xfId="0" applyNumberFormat="1" applyFont="1" applyFill="1" applyBorder="1" applyAlignment="1" applyProtection="1">
      <alignment horizontal="center" vertical="center" wrapText="1"/>
      <protection locked="0"/>
    </xf>
    <xf numFmtId="0" fontId="8" fillId="0" borderId="4" xfId="0" applyNumberFormat="1" applyFont="1" applyFill="1" applyBorder="1" applyAlignment="1" applyProtection="1">
      <alignment horizontal="left" vertical="center" wrapText="1"/>
    </xf>
    <xf numFmtId="0" fontId="10" fillId="0" borderId="54" xfId="0" applyNumberFormat="1" applyFont="1" applyFill="1" applyBorder="1" applyAlignment="1" applyProtection="1">
      <alignment horizontal="left" vertical="center" wrapText="1"/>
    </xf>
    <xf numFmtId="9" fontId="8" fillId="6" borderId="4" xfId="0" applyNumberFormat="1" applyFont="1" applyFill="1" applyBorder="1" applyAlignment="1" applyProtection="1">
      <alignment horizontal="left" vertical="center" wrapText="1"/>
    </xf>
    <xf numFmtId="9" fontId="8" fillId="0" borderId="4" xfId="0" applyNumberFormat="1" applyFont="1" applyFill="1" applyBorder="1" applyAlignment="1" applyProtection="1">
      <alignment horizontal="left" vertical="center" wrapText="1"/>
    </xf>
    <xf numFmtId="0" fontId="66" fillId="0" borderId="4" xfId="0" applyNumberFormat="1" applyFont="1" applyBorder="1" applyAlignment="1" applyProtection="1">
      <alignment horizontal="left" vertical="center" wrapText="1"/>
    </xf>
    <xf numFmtId="0" fontId="56" fillId="6" borderId="4" xfId="0" applyNumberFormat="1" applyFont="1" applyFill="1" applyBorder="1" applyAlignment="1" applyProtection="1">
      <alignment horizontal="left" vertical="center" wrapText="1"/>
    </xf>
    <xf numFmtId="0" fontId="10" fillId="6" borderId="1" xfId="0" applyNumberFormat="1" applyFont="1" applyFill="1" applyBorder="1" applyAlignment="1" applyProtection="1">
      <alignment horizontal="left" vertical="center" wrapText="1"/>
    </xf>
    <xf numFmtId="0" fontId="8" fillId="6" borderId="1" xfId="0" applyNumberFormat="1" applyFont="1" applyFill="1" applyBorder="1" applyAlignment="1" applyProtection="1">
      <alignment horizontal="left" vertical="center" wrapText="1"/>
    </xf>
    <xf numFmtId="0" fontId="8" fillId="6" borderId="4" xfId="0" applyNumberFormat="1" applyFont="1" applyFill="1" applyBorder="1" applyAlignment="1" applyProtection="1">
      <alignment horizontal="center" vertical="center" wrapText="1"/>
    </xf>
    <xf numFmtId="10" fontId="8" fillId="6" borderId="4" xfId="0" applyNumberFormat="1" applyFont="1" applyFill="1" applyBorder="1" applyAlignment="1" applyProtection="1">
      <alignment horizontal="left" vertical="center" wrapText="1"/>
    </xf>
    <xf numFmtId="8" fontId="8" fillId="6" borderId="4" xfId="0" applyNumberFormat="1" applyFont="1" applyFill="1" applyBorder="1" applyAlignment="1" applyProtection="1">
      <alignment horizontal="left" vertical="center" wrapText="1"/>
    </xf>
    <xf numFmtId="6" fontId="8" fillId="6" borderId="4" xfId="0" applyNumberFormat="1" applyFont="1" applyFill="1" applyBorder="1" applyAlignment="1" applyProtection="1">
      <alignment horizontal="left" vertical="center" wrapText="1"/>
    </xf>
    <xf numFmtId="17" fontId="8" fillId="6" borderId="4" xfId="0" applyNumberFormat="1" applyFont="1" applyFill="1" applyBorder="1" applyAlignment="1" applyProtection="1">
      <alignment horizontal="left" vertical="center" wrapText="1"/>
    </xf>
    <xf numFmtId="0" fontId="66" fillId="0" borderId="1" xfId="0" applyNumberFormat="1" applyFont="1" applyBorder="1" applyAlignment="1" applyProtection="1">
      <alignment horizontal="left" vertical="center" wrapText="1"/>
    </xf>
    <xf numFmtId="0" fontId="7" fillId="0" borderId="1" xfId="0" applyNumberFormat="1" applyFont="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protection locked="0"/>
    </xf>
    <xf numFmtId="0" fontId="9" fillId="6" borderId="53" xfId="0" quotePrefix="1" applyNumberFormat="1" applyFont="1" applyFill="1" applyBorder="1" applyAlignment="1" applyProtection="1">
      <alignment horizontal="left" vertical="center" wrapText="1"/>
      <protection locked="0"/>
    </xf>
    <xf numFmtId="0" fontId="54" fillId="6" borderId="54" xfId="0" applyNumberFormat="1" applyFont="1" applyFill="1" applyBorder="1" applyAlignment="1" applyProtection="1">
      <alignment horizontal="left" vertical="center" wrapText="1"/>
      <protection locked="0"/>
    </xf>
    <xf numFmtId="0" fontId="10" fillId="6" borderId="53" xfId="0" applyNumberFormat="1" applyFont="1" applyFill="1" applyBorder="1" applyAlignment="1" applyProtection="1">
      <alignment horizontal="center" vertical="center" wrapText="1"/>
      <protection locked="0"/>
    </xf>
    <xf numFmtId="0" fontId="18" fillId="6" borderId="54" xfId="1" applyNumberFormat="1" applyFill="1" applyBorder="1" applyAlignment="1" applyProtection="1">
      <alignment horizontal="left" vertical="center" wrapText="1"/>
      <protection locked="0"/>
    </xf>
    <xf numFmtId="10" fontId="9" fillId="6" borderId="53" xfId="3"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horizontal="left" vertical="center" wrapText="1"/>
      <protection locked="0"/>
    </xf>
    <xf numFmtId="165" fontId="8" fillId="6" borderId="4" xfId="0" applyNumberFormat="1" applyFont="1" applyFill="1" applyBorder="1" applyAlignment="1" applyProtection="1">
      <alignment horizontal="left" vertical="center" wrapText="1"/>
      <protection locked="0"/>
    </xf>
    <xf numFmtId="0" fontId="9" fillId="0" borderId="53" xfId="0" applyNumberFormat="1" applyFont="1" applyFill="1" applyBorder="1" applyAlignment="1" applyProtection="1">
      <alignment horizontal="left" vertical="center" wrapText="1"/>
      <protection locked="0"/>
    </xf>
    <xf numFmtId="9" fontId="10" fillId="6" borderId="4" xfId="0" applyNumberFormat="1" applyFont="1" applyFill="1" applyBorder="1" applyAlignment="1" applyProtection="1">
      <alignment horizontal="left" vertical="center" wrapText="1"/>
      <protection locked="0"/>
    </xf>
    <xf numFmtId="10" fontId="9" fillId="0" borderId="53" xfId="0" applyNumberFormat="1" applyFont="1" applyFill="1" applyBorder="1" applyAlignment="1" applyProtection="1">
      <alignment horizontal="left" vertical="center" wrapText="1"/>
      <protection locked="0"/>
    </xf>
    <xf numFmtId="10" fontId="8" fillId="6" borderId="53" xfId="0" applyNumberFormat="1" applyFont="1" applyFill="1" applyBorder="1" applyAlignment="1" applyProtection="1">
      <alignment horizontal="left" vertical="center" wrapText="1"/>
      <protection locked="0"/>
    </xf>
    <xf numFmtId="8" fontId="10" fillId="6" borderId="53" xfId="0" applyNumberFormat="1" applyFont="1" applyFill="1" applyBorder="1" applyAlignment="1" applyProtection="1">
      <alignment horizontal="left" vertical="center" wrapText="1"/>
      <protection locked="0"/>
    </xf>
    <xf numFmtId="10" fontId="0" fillId="0" borderId="1" xfId="0" applyNumberFormat="1" applyBorder="1" applyAlignment="1" applyProtection="1">
      <alignment horizontal="left" vertical="center" wrapText="1"/>
      <protection locked="0"/>
    </xf>
    <xf numFmtId="6" fontId="10" fillId="6" borderId="53" xfId="0" applyNumberFormat="1" applyFont="1" applyFill="1" applyBorder="1" applyAlignment="1" applyProtection="1">
      <alignment horizontal="left" vertical="center" wrapText="1"/>
      <protection locked="0"/>
    </xf>
    <xf numFmtId="3" fontId="10" fillId="6" borderId="53" xfId="0" applyNumberFormat="1" applyFont="1" applyFill="1" applyBorder="1" applyAlignment="1" applyProtection="1">
      <alignment horizontal="left" vertical="center" wrapText="1"/>
      <protection locked="0"/>
    </xf>
    <xf numFmtId="4" fontId="10" fillId="6" borderId="53" xfId="0" applyNumberFormat="1" applyFont="1" applyFill="1" applyBorder="1" applyAlignment="1" applyProtection="1">
      <alignment horizontal="left" vertical="center" wrapText="1"/>
      <protection locked="0"/>
    </xf>
    <xf numFmtId="0" fontId="9" fillId="0" borderId="0" xfId="0" applyFont="1" applyAlignment="1">
      <alignment vertical="center" wrapText="1"/>
    </xf>
    <xf numFmtId="0" fontId="4" fillId="25" borderId="1" xfId="0" applyNumberFormat="1" applyFont="1" applyFill="1" applyBorder="1" applyAlignment="1" applyProtection="1">
      <alignment horizontal="center" vertical="center"/>
    </xf>
    <xf numFmtId="0" fontId="4" fillId="25" borderId="1" xfId="0" applyNumberFormat="1" applyFont="1" applyFill="1" applyBorder="1" applyAlignment="1" applyProtection="1">
      <alignment horizontal="center" vertical="center"/>
      <protection locked="0"/>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 fillId="0" borderId="13"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7" fillId="10"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10" fontId="23" fillId="21" borderId="0" xfId="0" applyNumberFormat="1" applyFont="1" applyFill="1" applyAlignment="1" applyProtection="1">
      <alignment horizontal="center" vertical="center"/>
    </xf>
    <xf numFmtId="0" fontId="23" fillId="21" borderId="0" xfId="0" applyFont="1" applyFill="1" applyAlignment="1" applyProtection="1">
      <alignment horizontal="center" vertical="center"/>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3963">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0.97727272727272729</c:v>
                </c:pt>
                <c:pt idx="1">
                  <c:v>0.95652173913043481</c:v>
                </c:pt>
                <c:pt idx="2">
                  <c:v>0</c:v>
                </c:pt>
                <c:pt idx="3">
                  <c:v>0</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0</c:v>
                </c:pt>
                <c:pt idx="1">
                  <c:v>2.6086956521739129E-2</c:v>
                </c:pt>
                <c:pt idx="2">
                  <c:v>0</c:v>
                </c:pt>
                <c:pt idx="3">
                  <c:v>0</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2.2727272727272728E-2</c:v>
                </c:pt>
                <c:pt idx="1">
                  <c:v>1.7391304347826087E-2</c:v>
                </c:pt>
                <c:pt idx="2">
                  <c:v>0</c:v>
                </c:pt>
                <c:pt idx="3">
                  <c:v>0</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410995872"/>
        <c:axId val="410996256"/>
      </c:lineChart>
      <c:catAx>
        <c:axId val="410995872"/>
        <c:scaling>
          <c:orientation val="minMax"/>
        </c:scaling>
        <c:delete val="0"/>
        <c:axPos val="b"/>
        <c:numFmt formatCode="General" sourceLinked="0"/>
        <c:majorTickMark val="out"/>
        <c:minorTickMark val="none"/>
        <c:tickLblPos val="nextTo"/>
        <c:txPr>
          <a:bodyPr/>
          <a:lstStyle/>
          <a:p>
            <a:pPr>
              <a:defRPr lang="en-US"/>
            </a:pPr>
            <a:endParaRPr lang="en-US"/>
          </a:p>
        </c:txPr>
        <c:crossAx val="410996256"/>
        <c:crosses val="autoZero"/>
        <c:auto val="1"/>
        <c:lblAlgn val="ctr"/>
        <c:lblOffset val="100"/>
        <c:noMultiLvlLbl val="0"/>
      </c:catAx>
      <c:valAx>
        <c:axId val="41099625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099587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1</c:v>
                </c:pt>
                <c:pt idx="1">
                  <c:v>0.91891891891891886</c:v>
                </c:pt>
                <c:pt idx="2">
                  <c:v>0</c:v>
                </c:pt>
                <c:pt idx="3">
                  <c:v>0</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0</c:v>
                </c:pt>
                <c:pt idx="1">
                  <c:v>8.1081081081081086E-2</c:v>
                </c:pt>
                <c:pt idx="2">
                  <c:v>0</c:v>
                </c:pt>
                <c:pt idx="3">
                  <c:v>0</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411126248"/>
        <c:axId val="411126632"/>
      </c:lineChart>
      <c:catAx>
        <c:axId val="411126248"/>
        <c:scaling>
          <c:orientation val="minMax"/>
        </c:scaling>
        <c:delete val="0"/>
        <c:axPos val="b"/>
        <c:numFmt formatCode="General" sourceLinked="0"/>
        <c:majorTickMark val="out"/>
        <c:minorTickMark val="none"/>
        <c:tickLblPos val="nextTo"/>
        <c:txPr>
          <a:bodyPr/>
          <a:lstStyle/>
          <a:p>
            <a:pPr>
              <a:defRPr lang="en-US"/>
            </a:pPr>
            <a:endParaRPr lang="en-US"/>
          </a:p>
        </c:txPr>
        <c:crossAx val="411126632"/>
        <c:crosses val="autoZero"/>
        <c:auto val="1"/>
        <c:lblAlgn val="ctr"/>
        <c:lblOffset val="100"/>
        <c:noMultiLvlLbl val="0"/>
      </c:catAx>
      <c:valAx>
        <c:axId val="41112663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1262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32577560"/>
        <c:axId val="332577952"/>
      </c:lineChart>
      <c:catAx>
        <c:axId val="332577560"/>
        <c:scaling>
          <c:orientation val="minMax"/>
        </c:scaling>
        <c:delete val="0"/>
        <c:axPos val="b"/>
        <c:numFmt formatCode="General" sourceLinked="0"/>
        <c:majorTickMark val="out"/>
        <c:minorTickMark val="none"/>
        <c:tickLblPos val="nextTo"/>
        <c:txPr>
          <a:bodyPr/>
          <a:lstStyle/>
          <a:p>
            <a:pPr>
              <a:defRPr lang="en-US"/>
            </a:pPr>
            <a:endParaRPr lang="en-US"/>
          </a:p>
        </c:txPr>
        <c:crossAx val="332577952"/>
        <c:crosses val="autoZero"/>
        <c:auto val="1"/>
        <c:lblAlgn val="ctr"/>
        <c:lblOffset val="100"/>
        <c:noMultiLvlLbl val="0"/>
      </c:catAx>
      <c:valAx>
        <c:axId val="33257795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25775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0.92592592592592582</c:v>
                </c:pt>
                <c:pt idx="1">
                  <c:v>0.94444444444444442</c:v>
                </c:pt>
                <c:pt idx="2">
                  <c:v>0</c:v>
                </c:pt>
                <c:pt idx="3">
                  <c:v>0</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7.407407407407407E-2</c:v>
                </c:pt>
                <c:pt idx="1">
                  <c:v>5.5555555555555552E-2</c:v>
                </c:pt>
                <c:pt idx="2">
                  <c:v>0</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411280808"/>
        <c:axId val="411282376"/>
      </c:lineChart>
      <c:catAx>
        <c:axId val="411280808"/>
        <c:scaling>
          <c:orientation val="minMax"/>
        </c:scaling>
        <c:delete val="0"/>
        <c:axPos val="b"/>
        <c:numFmt formatCode="General" sourceLinked="0"/>
        <c:majorTickMark val="out"/>
        <c:minorTickMark val="none"/>
        <c:tickLblPos val="nextTo"/>
        <c:txPr>
          <a:bodyPr/>
          <a:lstStyle/>
          <a:p>
            <a:pPr>
              <a:defRPr lang="en-US"/>
            </a:pPr>
            <a:endParaRPr lang="en-US"/>
          </a:p>
        </c:txPr>
        <c:crossAx val="411282376"/>
        <c:crosses val="autoZero"/>
        <c:auto val="1"/>
        <c:lblAlgn val="ctr"/>
        <c:lblOffset val="100"/>
        <c:noMultiLvlLbl val="0"/>
      </c:catAx>
      <c:valAx>
        <c:axId val="4112823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28080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0.97727272727272729</c:v>
                </c:pt>
                <c:pt idx="1">
                  <c:v>0</c:v>
                </c:pt>
                <c:pt idx="2">
                  <c:v>2.2727272727272728E-2</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1</c:v>
                </c:pt>
                <c:pt idx="1">
                  <c:v>0</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0.92592592592592582</c:v>
                </c:pt>
                <c:pt idx="1">
                  <c:v>0</c:v>
                </c:pt>
                <c:pt idx="2">
                  <c:v>7.407407407407407E-2</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0.95652173913043481</c:v>
                </c:pt>
                <c:pt idx="1">
                  <c:v>2.6086956521739129E-2</c:v>
                </c:pt>
                <c:pt idx="2">
                  <c:v>1.7391304347826087E-2</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0.91891891891891886</c:v>
                </c:pt>
                <c:pt idx="1">
                  <c:v>8.1081081081081086E-2</c:v>
                </c:pt>
                <c:pt idx="2">
                  <c:v>0</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0.94444444444444442</c:v>
                </c:pt>
                <c:pt idx="1">
                  <c:v>0</c:v>
                </c:pt>
                <c:pt idx="2">
                  <c:v>5.5555555555555552E-2</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c:v>
                </c:pt>
                <c:pt idx="1">
                  <c:v>0</c:v>
                </c:pt>
                <c:pt idx="2">
                  <c:v>0</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c:v>
                </c:pt>
                <c:pt idx="1">
                  <c:v>0</c:v>
                </c:pt>
                <c:pt idx="2">
                  <c:v>0</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c:v>
                </c:pt>
                <c:pt idx="1">
                  <c:v>0</c:v>
                </c:pt>
                <c:pt idx="2">
                  <c:v>0</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c:v>
                </c:pt>
                <c:pt idx="1">
                  <c:v>0</c:v>
                </c:pt>
                <c:pt idx="2">
                  <c:v>0</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c:v>
                </c:pt>
                <c:pt idx="1">
                  <c:v>0</c:v>
                </c:pt>
                <c:pt idx="2">
                  <c:v>0</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c:v>
                </c:pt>
                <c:pt idx="1">
                  <c:v>0</c:v>
                </c:pt>
                <c:pt idx="2">
                  <c:v>0</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c:v>
                </c:pt>
                <c:pt idx="1">
                  <c:v>0</c:v>
                </c:pt>
                <c:pt idx="2">
                  <c:v>0</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0</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and Economic Growth</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0.92</c:v>
                </c:pt>
                <c:pt idx="1">
                  <c:v>0.87096774193548387</c:v>
                </c:pt>
                <c:pt idx="2">
                  <c:v>0</c:v>
                </c:pt>
                <c:pt idx="3">
                  <c:v>0</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0</c:v>
                </c:pt>
                <c:pt idx="1">
                  <c:v>6.4516129032258063E-2</c:v>
                </c:pt>
                <c:pt idx="2">
                  <c:v>0</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0.08</c:v>
                </c:pt>
                <c:pt idx="1">
                  <c:v>6.4516129032258063E-2</c:v>
                </c:pt>
                <c:pt idx="2">
                  <c:v>0</c:v>
                </c:pt>
                <c:pt idx="3">
                  <c:v>0</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411287864"/>
        <c:axId val="412160832"/>
      </c:lineChart>
      <c:catAx>
        <c:axId val="411287864"/>
        <c:scaling>
          <c:orientation val="minMax"/>
        </c:scaling>
        <c:delete val="0"/>
        <c:axPos val="b"/>
        <c:numFmt formatCode="General" sourceLinked="1"/>
        <c:majorTickMark val="out"/>
        <c:minorTickMark val="none"/>
        <c:tickLblPos val="nextTo"/>
        <c:txPr>
          <a:bodyPr/>
          <a:lstStyle/>
          <a:p>
            <a:pPr>
              <a:defRPr lang="en-US"/>
            </a:pPr>
            <a:endParaRPr lang="en-US"/>
          </a:p>
        </c:txPr>
        <c:crossAx val="412160832"/>
        <c:crosses val="autoZero"/>
        <c:auto val="1"/>
        <c:lblAlgn val="ctr"/>
        <c:lblOffset val="100"/>
        <c:noMultiLvlLbl val="0"/>
      </c:catAx>
      <c:valAx>
        <c:axId val="41216083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128786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Tourism and</a:t>
            </a:r>
            <a:r>
              <a:rPr lang="en-GB" sz="1200" u="sng" baseline="0">
                <a:latin typeface="Arial" pitchFamily="34" charset="0"/>
                <a:cs typeface="Arial" pitchFamily="34" charset="0"/>
              </a:rPr>
              <a:t> Cultural Development</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412163576"/>
        <c:axId val="412163968"/>
      </c:lineChart>
      <c:catAx>
        <c:axId val="412163576"/>
        <c:scaling>
          <c:orientation val="minMax"/>
        </c:scaling>
        <c:delete val="0"/>
        <c:axPos val="b"/>
        <c:numFmt formatCode="General" sourceLinked="0"/>
        <c:majorTickMark val="out"/>
        <c:minorTickMark val="none"/>
        <c:tickLblPos val="nextTo"/>
        <c:txPr>
          <a:bodyPr/>
          <a:lstStyle/>
          <a:p>
            <a:pPr>
              <a:defRPr lang="en-US"/>
            </a:pPr>
            <a:endParaRPr lang="en-US"/>
          </a:p>
        </c:txPr>
        <c:crossAx val="412163968"/>
        <c:crosses val="autoZero"/>
        <c:auto val="1"/>
        <c:lblAlgn val="ctr"/>
        <c:lblOffset val="100"/>
        <c:noMultiLvlLbl val="0"/>
      </c:catAx>
      <c:valAx>
        <c:axId val="4121639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21635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Communities and Housing Standards</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412162008"/>
        <c:axId val="412166320"/>
      </c:lineChart>
      <c:catAx>
        <c:axId val="412162008"/>
        <c:scaling>
          <c:orientation val="minMax"/>
        </c:scaling>
        <c:delete val="0"/>
        <c:axPos val="b"/>
        <c:numFmt formatCode="General" sourceLinked="0"/>
        <c:majorTickMark val="out"/>
        <c:minorTickMark val="none"/>
        <c:tickLblPos val="nextTo"/>
        <c:txPr>
          <a:bodyPr/>
          <a:lstStyle/>
          <a:p>
            <a:pPr>
              <a:defRPr lang="en-US"/>
            </a:pPr>
            <a:endParaRPr lang="en-US"/>
          </a:p>
        </c:txPr>
        <c:crossAx val="412166320"/>
        <c:crosses val="autoZero"/>
        <c:auto val="1"/>
        <c:lblAlgn val="ctr"/>
        <c:lblOffset val="100"/>
        <c:noMultiLvlLbl val="0"/>
      </c:catAx>
      <c:valAx>
        <c:axId val="412166320"/>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41216200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Environment and Climate Change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1</c:v>
                </c:pt>
                <c:pt idx="1">
                  <c:v>1</c:v>
                </c:pt>
                <c:pt idx="2">
                  <c:v>0</c:v>
                </c:pt>
                <c:pt idx="3">
                  <c:v>0</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412161616"/>
        <c:axId val="412166712"/>
      </c:lineChart>
      <c:catAx>
        <c:axId val="412161616"/>
        <c:scaling>
          <c:orientation val="minMax"/>
        </c:scaling>
        <c:delete val="0"/>
        <c:axPos val="b"/>
        <c:numFmt formatCode="General" sourceLinked="0"/>
        <c:majorTickMark val="out"/>
        <c:minorTickMark val="none"/>
        <c:tickLblPos val="nextTo"/>
        <c:txPr>
          <a:bodyPr/>
          <a:lstStyle/>
          <a:p>
            <a:pPr>
              <a:defRPr lang="en-US"/>
            </a:pPr>
            <a:endParaRPr lang="en-US"/>
          </a:p>
        </c:txPr>
        <c:crossAx val="412166712"/>
        <c:crosses val="autoZero"/>
        <c:auto val="1"/>
        <c:lblAlgn val="ctr"/>
        <c:lblOffset val="100"/>
        <c:noMultiLvlLbl val="0"/>
      </c:catAx>
      <c:valAx>
        <c:axId val="41216671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1216161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0.92</c:v>
                </c:pt>
                <c:pt idx="1">
                  <c:v>0</c:v>
                </c:pt>
                <c:pt idx="2">
                  <c:v>0.08</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Tourism and Cultural Development</a:t>
            </a:r>
            <a:endParaRPr lang="en-GB" sz="1800" b="1" i="0" u="none" baseline="0">
              <a:effectLst/>
            </a:endParaRPr>
          </a:p>
          <a:p>
            <a:pPr algn="ctr">
              <a:defRPr lang="en-US"/>
            </a:pPr>
            <a:r>
              <a:rPr lang="en-GB" sz="1800" b="1" i="0" u="none" baseline="0">
                <a:effectLst/>
              </a:rPr>
              <a:t>- </a:t>
            </a:r>
            <a:r>
              <a:rPr lang="en-US"/>
              <a:t>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1</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1</c:v>
                </c:pt>
                <c:pt idx="1">
                  <c:v>0</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1</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0.87096774193548387</c:v>
                </c:pt>
                <c:pt idx="1">
                  <c:v>6.4516129032258063E-2</c:v>
                </c:pt>
                <c:pt idx="2">
                  <c:v>6.4516129032258063E-2</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1</c:v>
                </c:pt>
                <c:pt idx="1">
                  <c:v>0</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1</c:v>
                </c:pt>
                <c:pt idx="1">
                  <c:v>0</c:v>
                </c:pt>
                <c:pt idx="2">
                  <c:v>0</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1</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sng" baseline="0">
                <a:effectLst/>
              </a:rPr>
              <a:t>Leader and Economic Growth</a:t>
            </a:r>
            <a:endParaRPr lang="en-GB">
              <a:effectLst/>
            </a:endParaRP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c:v>
                </c:pt>
                <c:pt idx="1">
                  <c:v>0</c:v>
                </c:pt>
                <c:pt idx="2">
                  <c:v>0</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US" sz="1800" b="1" i="0" u="sng" baseline="0">
                <a:effectLst/>
              </a:rPr>
              <a:t>Leader and Economic Growth</a:t>
            </a:r>
            <a:endParaRPr lang="en-GB">
              <a:effectLst/>
            </a:endParaRP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c:v>
                </c:pt>
                <c:pt idx="1">
                  <c:v>0</c:v>
                </c:pt>
                <c:pt idx="2">
                  <c:v>0</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0</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Tourism and Cultural Development</a:t>
            </a:r>
            <a:endParaRPr lang="en-GB">
              <a:effectLst/>
            </a:endParaRP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c:v>
                </c:pt>
                <c:pt idx="1">
                  <c:v>0</c:v>
                </c:pt>
                <c:pt idx="2">
                  <c:v>0</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Communities and Housing Standards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c:v>
                </c:pt>
                <c:pt idx="1">
                  <c:v>0</c:v>
                </c:pt>
                <c:pt idx="2">
                  <c:v>0</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GB" sz="1800" b="1" i="0" u="sng" baseline="0">
                <a:effectLst/>
              </a:rPr>
              <a:t>Communities and Housing Standards</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c:v>
                </c:pt>
                <c:pt idx="1">
                  <c:v>0</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 and Climate Change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0</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Finance,</a:t>
            </a:r>
            <a:r>
              <a:rPr lang="en-GB" sz="1200" u="sng" baseline="0">
                <a:latin typeface="Arial" pitchFamily="34" charset="0"/>
                <a:cs typeface="Arial" pitchFamily="34" charset="0"/>
              </a:rPr>
              <a:t> Treasury Management and Communications</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0.9</c:v>
                </c:pt>
                <c:pt idx="2">
                  <c:v>0</c:v>
                </c:pt>
                <c:pt idx="3">
                  <c:v>0</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0.1</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413232416"/>
        <c:axId val="413236336"/>
      </c:lineChart>
      <c:catAx>
        <c:axId val="413232416"/>
        <c:scaling>
          <c:orientation val="minMax"/>
        </c:scaling>
        <c:delete val="0"/>
        <c:axPos val="b"/>
        <c:numFmt formatCode="General" sourceLinked="0"/>
        <c:majorTickMark val="out"/>
        <c:minorTickMark val="none"/>
        <c:tickLblPos val="nextTo"/>
        <c:txPr>
          <a:bodyPr/>
          <a:lstStyle/>
          <a:p>
            <a:pPr>
              <a:defRPr lang="en-US"/>
            </a:pPr>
            <a:endParaRPr lang="en-US"/>
          </a:p>
        </c:txPr>
        <c:crossAx val="413236336"/>
        <c:crosses val="autoZero"/>
        <c:auto val="1"/>
        <c:lblAlgn val="ctr"/>
        <c:lblOffset val="100"/>
        <c:noMultiLvlLbl val="0"/>
      </c:catAx>
      <c:valAx>
        <c:axId val="4132363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41323241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sng" baseline="0">
                <a:effectLst/>
              </a:rPr>
              <a:t>Finance, Treasury Management and Communications</a:t>
            </a:r>
            <a:endParaRPr lang="en-GB">
              <a:effectLst/>
            </a:endParaRP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c:v>
                </c:pt>
                <c:pt idx="1">
                  <c:v>0.1</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c:v>
                </c:pt>
                <c:pt idx="1">
                  <c:v>0</c:v>
                </c:pt>
                <c:pt idx="2">
                  <c:v>0</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Finance, Treasury Management and Communications</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0</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293915</xdr:colOff>
      <xdr:row>0</xdr:row>
      <xdr:rowOff>0</xdr:rowOff>
    </xdr:from>
    <xdr:to>
      <xdr:col>0</xdr:col>
      <xdr:colOff>1001486</xdr:colOff>
      <xdr:row>0</xdr:row>
      <xdr:rowOff>396853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915" y="0"/>
          <a:ext cx="707571" cy="3982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76"/>
  <sheetViews>
    <sheetView tabSelected="1" zoomScale="60" zoomScaleNormal="60" workbookViewId="0">
      <pane xSplit="5" ySplit="2" topLeftCell="J89" activePane="bottomRight" state="frozen"/>
      <selection pane="topRight" activeCell="F1" sqref="F1"/>
      <selection pane="bottomLeft" activeCell="A3" sqref="A3"/>
      <selection pane="bottomRight" activeCell="J91" sqref="J91"/>
    </sheetView>
  </sheetViews>
  <sheetFormatPr defaultColWidth="9.33203125" defaultRowHeight="97.95" customHeight="1"/>
  <cols>
    <col min="1" max="1" width="20.44140625" style="298" customWidth="1"/>
    <col min="2" max="2" width="14.6640625" style="235" customWidth="1"/>
    <col min="3" max="3" width="49.5546875" style="234" customWidth="1"/>
    <col min="4" max="4" width="50" style="234" customWidth="1"/>
    <col min="5" max="5" width="19.44140625" style="257" customWidth="1"/>
    <col min="6" max="6" width="69.6640625" style="334" customWidth="1"/>
    <col min="7" max="7" width="18.5546875" style="335" customWidth="1"/>
    <col min="8" max="8" width="18.5546875" style="235" customWidth="1"/>
    <col min="9" max="9" width="35.33203125" style="234" customWidth="1"/>
    <col min="10" max="10" width="56.33203125" style="256" customWidth="1"/>
    <col min="11" max="12" width="18.44140625" style="256" customWidth="1"/>
    <col min="13" max="13" width="18.5546875" style="256" customWidth="1"/>
    <col min="14" max="14" width="38.44140625" style="256" customWidth="1"/>
    <col min="15" max="15" width="57.6640625" style="234" hidden="1" customWidth="1"/>
    <col min="16" max="16" width="18.44140625" style="234" hidden="1" customWidth="1"/>
    <col min="17" max="18" width="18.5546875" style="234" hidden="1" customWidth="1"/>
    <col min="19" max="19" width="32.6640625" style="234" hidden="1" customWidth="1"/>
    <col min="20" max="20" width="62.6640625" style="256" hidden="1" customWidth="1"/>
    <col min="21" max="22" width="18.5546875" style="256" hidden="1" customWidth="1"/>
    <col min="23" max="23" width="49.33203125" style="256" hidden="1" customWidth="1"/>
    <col min="24" max="24" width="8.33203125" style="235" customWidth="1"/>
    <col min="25" max="25" width="19.5546875" style="234" customWidth="1"/>
    <col min="26" max="27" width="20.44140625" style="298" customWidth="1"/>
    <col min="28" max="29" width="19.5546875" style="234" customWidth="1"/>
    <col min="30" max="30" width="14.6640625" style="235" customWidth="1"/>
    <col min="31" max="31" width="18.33203125" style="236" customWidth="1"/>
    <col min="32" max="16384" width="9.33203125" style="236"/>
  </cols>
  <sheetData>
    <row r="1" spans="1:30" s="307" customFormat="1" ht="33.6" customHeight="1">
      <c r="A1" s="301"/>
      <c r="B1" s="301" t="s">
        <v>279</v>
      </c>
      <c r="C1" s="302"/>
      <c r="D1" s="302"/>
      <c r="E1" s="303"/>
      <c r="F1" s="354" t="s">
        <v>546</v>
      </c>
      <c r="G1" s="354"/>
      <c r="H1" s="354"/>
      <c r="I1" s="354"/>
      <c r="J1" s="355" t="s">
        <v>547</v>
      </c>
      <c r="K1" s="355"/>
      <c r="L1" s="355"/>
      <c r="M1" s="355"/>
      <c r="N1" s="355"/>
      <c r="O1" s="354" t="s">
        <v>551</v>
      </c>
      <c r="P1" s="354"/>
      <c r="Q1" s="354"/>
      <c r="R1" s="354"/>
      <c r="S1" s="354"/>
      <c r="T1" s="355" t="s">
        <v>553</v>
      </c>
      <c r="U1" s="355"/>
      <c r="V1" s="355"/>
      <c r="W1" s="355"/>
      <c r="X1" s="304"/>
      <c r="Y1" s="302"/>
      <c r="Z1" s="305"/>
      <c r="AA1" s="305"/>
      <c r="AB1" s="302"/>
      <c r="AC1" s="302"/>
      <c r="AD1" s="306"/>
    </row>
    <row r="2" spans="1:30" s="239" customFormat="1" ht="61.95" customHeight="1" thickBot="1">
      <c r="A2" s="296" t="s">
        <v>20</v>
      </c>
      <c r="B2" s="293" t="s">
        <v>331</v>
      </c>
      <c r="C2" s="293" t="s">
        <v>0</v>
      </c>
      <c r="D2" s="293" t="s">
        <v>119</v>
      </c>
      <c r="E2" s="294" t="s">
        <v>21</v>
      </c>
      <c r="F2" s="263" t="s">
        <v>545</v>
      </c>
      <c r="G2" s="263" t="s">
        <v>480</v>
      </c>
      <c r="H2" s="263" t="s">
        <v>22</v>
      </c>
      <c r="I2" s="263" t="s">
        <v>23</v>
      </c>
      <c r="J2" s="310" t="s">
        <v>548</v>
      </c>
      <c r="K2" s="310" t="s">
        <v>549</v>
      </c>
      <c r="L2" s="310" t="s">
        <v>481</v>
      </c>
      <c r="M2" s="310" t="s">
        <v>39</v>
      </c>
      <c r="N2" s="310" t="s">
        <v>40</v>
      </c>
      <c r="O2" s="263" t="s">
        <v>550</v>
      </c>
      <c r="P2" s="263" t="s">
        <v>552</v>
      </c>
      <c r="Q2" s="263" t="s">
        <v>482</v>
      </c>
      <c r="R2" s="263" t="s">
        <v>41</v>
      </c>
      <c r="S2" s="263" t="s">
        <v>42</v>
      </c>
      <c r="T2" s="310" t="s">
        <v>554</v>
      </c>
      <c r="U2" s="310" t="s">
        <v>483</v>
      </c>
      <c r="V2" s="310" t="s">
        <v>88</v>
      </c>
      <c r="W2" s="310" t="s">
        <v>43</v>
      </c>
      <c r="X2" s="237" t="s">
        <v>14</v>
      </c>
      <c r="Y2" s="296" t="s">
        <v>11</v>
      </c>
      <c r="Z2" s="296" t="s">
        <v>19</v>
      </c>
      <c r="AA2" s="296" t="s">
        <v>71</v>
      </c>
      <c r="AB2" s="294" t="s">
        <v>10</v>
      </c>
      <c r="AC2" s="308" t="s">
        <v>117</v>
      </c>
      <c r="AD2" s="238" t="s">
        <v>484</v>
      </c>
    </row>
    <row r="3" spans="1:30" ht="73.2" customHeight="1" thickBot="1">
      <c r="A3" s="297" t="s">
        <v>313</v>
      </c>
      <c r="B3" s="295" t="s">
        <v>332</v>
      </c>
      <c r="C3" s="311" t="s">
        <v>120</v>
      </c>
      <c r="D3" s="312" t="s">
        <v>121</v>
      </c>
      <c r="E3" s="313">
        <v>44774</v>
      </c>
      <c r="F3" s="240" t="s">
        <v>536</v>
      </c>
      <c r="G3" s="240"/>
      <c r="H3" s="241" t="s">
        <v>34</v>
      </c>
      <c r="I3" s="242"/>
      <c r="J3" s="273" t="s">
        <v>605</v>
      </c>
      <c r="K3" s="270"/>
      <c r="L3" s="271"/>
      <c r="M3" s="282" t="s">
        <v>25</v>
      </c>
      <c r="N3" s="255"/>
      <c r="O3" s="266"/>
      <c r="P3" s="266"/>
      <c r="Q3" s="267"/>
      <c r="R3" s="241"/>
      <c r="S3" s="246"/>
      <c r="T3" s="270"/>
      <c r="U3" s="271"/>
      <c r="V3" s="272"/>
      <c r="W3" s="255"/>
      <c r="X3" s="247">
        <v>2</v>
      </c>
      <c r="Y3" s="297" t="s">
        <v>307</v>
      </c>
      <c r="Z3" s="297" t="s">
        <v>293</v>
      </c>
      <c r="AA3" s="297" t="s">
        <v>12</v>
      </c>
      <c r="AB3" s="295" t="s">
        <v>465</v>
      </c>
      <c r="AC3" s="309" t="s">
        <v>118</v>
      </c>
      <c r="AD3" s="244">
        <v>1</v>
      </c>
    </row>
    <row r="4" spans="1:30" ht="73.2" customHeight="1" thickBot="1">
      <c r="A4" s="297" t="s">
        <v>313</v>
      </c>
      <c r="B4" s="295" t="s">
        <v>333</v>
      </c>
      <c r="C4" s="311" t="s">
        <v>120</v>
      </c>
      <c r="D4" s="312" t="s">
        <v>122</v>
      </c>
      <c r="E4" s="313">
        <v>44682</v>
      </c>
      <c r="F4" s="240" t="s">
        <v>537</v>
      </c>
      <c r="G4" s="240"/>
      <c r="H4" s="241" t="s">
        <v>25</v>
      </c>
      <c r="I4" s="242"/>
      <c r="J4" s="273" t="s">
        <v>606</v>
      </c>
      <c r="K4" s="273"/>
      <c r="L4" s="274"/>
      <c r="M4" s="282" t="s">
        <v>25</v>
      </c>
      <c r="N4" s="255"/>
      <c r="O4" s="231"/>
      <c r="P4" s="266"/>
      <c r="Q4" s="267"/>
      <c r="R4" s="241"/>
      <c r="S4" s="242"/>
      <c r="T4" s="273"/>
      <c r="U4" s="274"/>
      <c r="V4" s="272"/>
      <c r="W4" s="254"/>
      <c r="X4" s="243">
        <v>1</v>
      </c>
      <c r="Y4" s="297" t="s">
        <v>307</v>
      </c>
      <c r="Z4" s="297" t="s">
        <v>293</v>
      </c>
      <c r="AA4" s="297" t="s">
        <v>12</v>
      </c>
      <c r="AB4" s="295" t="s">
        <v>461</v>
      </c>
      <c r="AC4" s="309" t="s">
        <v>118</v>
      </c>
      <c r="AD4" s="244">
        <v>2</v>
      </c>
    </row>
    <row r="5" spans="1:30" ht="73.2" customHeight="1" thickBot="1">
      <c r="A5" s="297" t="s">
        <v>313</v>
      </c>
      <c r="B5" s="295" t="s">
        <v>334</v>
      </c>
      <c r="C5" s="311" t="s">
        <v>120</v>
      </c>
      <c r="D5" s="312" t="s">
        <v>123</v>
      </c>
      <c r="E5" s="313" t="s">
        <v>281</v>
      </c>
      <c r="F5" s="240" t="s">
        <v>543</v>
      </c>
      <c r="G5" s="240"/>
      <c r="H5" s="241" t="s">
        <v>38</v>
      </c>
      <c r="I5" s="242"/>
      <c r="J5" s="336" t="s">
        <v>607</v>
      </c>
      <c r="K5" s="337"/>
      <c r="L5" s="336"/>
      <c r="M5" s="282" t="s">
        <v>38</v>
      </c>
      <c r="N5" s="255"/>
      <c r="O5" s="266"/>
      <c r="P5" s="266"/>
      <c r="Q5" s="267"/>
      <c r="R5" s="241"/>
      <c r="S5" s="246"/>
      <c r="T5" s="270"/>
      <c r="U5" s="271"/>
      <c r="V5" s="272"/>
      <c r="W5" s="255"/>
      <c r="X5" s="243"/>
      <c r="Y5" s="297" t="s">
        <v>307</v>
      </c>
      <c r="Z5" s="297" t="s">
        <v>293</v>
      </c>
      <c r="AA5" s="297" t="s">
        <v>12</v>
      </c>
      <c r="AB5" s="295" t="s">
        <v>461</v>
      </c>
      <c r="AC5" s="309" t="s">
        <v>118</v>
      </c>
      <c r="AD5" s="244">
        <v>3</v>
      </c>
    </row>
    <row r="6" spans="1:30" ht="73.2" customHeight="1" thickBot="1">
      <c r="A6" s="297" t="s">
        <v>315</v>
      </c>
      <c r="B6" s="295" t="s">
        <v>335</v>
      </c>
      <c r="C6" s="311" t="s">
        <v>124</v>
      </c>
      <c r="D6" s="312" t="s">
        <v>125</v>
      </c>
      <c r="E6" s="313">
        <v>44835</v>
      </c>
      <c r="F6" s="240"/>
      <c r="G6" s="240"/>
      <c r="H6" s="241" t="s">
        <v>38</v>
      </c>
      <c r="I6" s="242"/>
      <c r="J6" s="273" t="s">
        <v>615</v>
      </c>
      <c r="K6" s="273"/>
      <c r="L6" s="274"/>
      <c r="M6" s="282" t="s">
        <v>34</v>
      </c>
      <c r="N6" s="254"/>
      <c r="O6" s="231"/>
      <c r="P6" s="266"/>
      <c r="Q6" s="267"/>
      <c r="R6" s="241"/>
      <c r="S6" s="242"/>
      <c r="T6" s="273"/>
      <c r="U6" s="274"/>
      <c r="V6" s="272"/>
      <c r="W6" s="254"/>
      <c r="X6" s="243">
        <v>3</v>
      </c>
      <c r="Y6" s="297" t="s">
        <v>307</v>
      </c>
      <c r="Z6" s="297" t="s">
        <v>293</v>
      </c>
      <c r="AA6" s="297" t="s">
        <v>12</v>
      </c>
      <c r="AB6" s="295" t="s">
        <v>461</v>
      </c>
      <c r="AC6" s="309" t="s">
        <v>118</v>
      </c>
      <c r="AD6" s="244">
        <v>4</v>
      </c>
    </row>
    <row r="7" spans="1:30" ht="73.2" customHeight="1" thickBot="1">
      <c r="A7" s="297" t="s">
        <v>314</v>
      </c>
      <c r="B7" s="295" t="s">
        <v>336</v>
      </c>
      <c r="C7" s="311" t="s">
        <v>126</v>
      </c>
      <c r="D7" s="312" t="s">
        <v>127</v>
      </c>
      <c r="E7" s="313">
        <v>44958</v>
      </c>
      <c r="F7" s="321"/>
      <c r="G7" s="240"/>
      <c r="H7" s="241" t="s">
        <v>38</v>
      </c>
      <c r="I7" s="322"/>
      <c r="J7" s="273"/>
      <c r="K7" s="273"/>
      <c r="L7" s="274"/>
      <c r="M7" s="282" t="s">
        <v>38</v>
      </c>
      <c r="N7" s="254"/>
      <c r="O7" s="266"/>
      <c r="P7" s="266"/>
      <c r="Q7" s="267"/>
      <c r="R7" s="241"/>
      <c r="S7" s="242"/>
      <c r="T7" s="273"/>
      <c r="U7" s="274"/>
      <c r="V7" s="272"/>
      <c r="W7" s="254"/>
      <c r="X7" s="243">
        <v>4</v>
      </c>
      <c r="Y7" s="297" t="s">
        <v>329</v>
      </c>
      <c r="Z7" s="297" t="s">
        <v>294</v>
      </c>
      <c r="AA7" s="297" t="s">
        <v>12</v>
      </c>
      <c r="AB7" s="295" t="s">
        <v>462</v>
      </c>
      <c r="AC7" s="309" t="s">
        <v>116</v>
      </c>
      <c r="AD7" s="244">
        <v>5</v>
      </c>
    </row>
    <row r="8" spans="1:30" ht="73.2" customHeight="1" thickBot="1">
      <c r="A8" s="297" t="s">
        <v>321</v>
      </c>
      <c r="B8" s="295" t="s">
        <v>337</v>
      </c>
      <c r="C8" s="311" t="s">
        <v>128</v>
      </c>
      <c r="D8" s="312" t="s">
        <v>129</v>
      </c>
      <c r="E8" s="313">
        <v>44713</v>
      </c>
      <c r="F8" s="240" t="s">
        <v>544</v>
      </c>
      <c r="G8" s="240"/>
      <c r="H8" s="241" t="s">
        <v>25</v>
      </c>
      <c r="I8" s="242"/>
      <c r="J8" s="273"/>
      <c r="K8" s="273"/>
      <c r="L8" s="274"/>
      <c r="M8" s="282" t="s">
        <v>25</v>
      </c>
      <c r="N8" s="254"/>
      <c r="O8" s="289"/>
      <c r="P8" s="266"/>
      <c r="Q8" s="267"/>
      <c r="R8" s="241"/>
      <c r="S8" s="242"/>
      <c r="T8" s="273"/>
      <c r="U8" s="274"/>
      <c r="V8" s="272"/>
      <c r="W8" s="254"/>
      <c r="X8" s="243">
        <v>1</v>
      </c>
      <c r="Y8" s="297" t="s">
        <v>329</v>
      </c>
      <c r="Z8" s="297" t="s">
        <v>294</v>
      </c>
      <c r="AA8" s="297" t="s">
        <v>12</v>
      </c>
      <c r="AB8" s="295" t="s">
        <v>463</v>
      </c>
      <c r="AC8" s="309" t="s">
        <v>116</v>
      </c>
      <c r="AD8" s="244">
        <v>6</v>
      </c>
    </row>
    <row r="9" spans="1:30" ht="73.2" customHeight="1" thickBot="1">
      <c r="A9" s="297" t="s">
        <v>314</v>
      </c>
      <c r="B9" s="295" t="s">
        <v>338</v>
      </c>
      <c r="C9" s="311" t="s">
        <v>126</v>
      </c>
      <c r="D9" s="312" t="s">
        <v>130</v>
      </c>
      <c r="E9" s="313">
        <v>44743</v>
      </c>
      <c r="F9" s="240" t="s">
        <v>582</v>
      </c>
      <c r="G9" s="240"/>
      <c r="H9" s="241" t="s">
        <v>34</v>
      </c>
      <c r="I9" s="242"/>
      <c r="J9" s="273" t="s">
        <v>662</v>
      </c>
      <c r="K9" s="273"/>
      <c r="L9" s="274"/>
      <c r="M9" s="282" t="s">
        <v>25</v>
      </c>
      <c r="N9" s="254"/>
      <c r="O9" s="266"/>
      <c r="P9" s="266"/>
      <c r="Q9" s="267"/>
      <c r="R9" s="241"/>
      <c r="S9" s="242"/>
      <c r="T9" s="273"/>
      <c r="U9" s="274"/>
      <c r="V9" s="272"/>
      <c r="W9" s="254"/>
      <c r="X9" s="243">
        <v>2</v>
      </c>
      <c r="Y9" s="297" t="s">
        <v>329</v>
      </c>
      <c r="Z9" s="297" t="s">
        <v>294</v>
      </c>
      <c r="AA9" s="297" t="s">
        <v>12</v>
      </c>
      <c r="AB9" s="295" t="s">
        <v>462</v>
      </c>
      <c r="AC9" s="309" t="s">
        <v>116</v>
      </c>
      <c r="AD9" s="244">
        <v>7</v>
      </c>
    </row>
    <row r="10" spans="1:30" ht="73.2" customHeight="1" thickBot="1">
      <c r="A10" s="297" t="s">
        <v>314</v>
      </c>
      <c r="B10" s="295" t="s">
        <v>339</v>
      </c>
      <c r="C10" s="311" t="s">
        <v>126</v>
      </c>
      <c r="D10" s="312" t="s">
        <v>131</v>
      </c>
      <c r="E10" s="313">
        <v>44805</v>
      </c>
      <c r="F10" s="240" t="s">
        <v>520</v>
      </c>
      <c r="G10" s="240"/>
      <c r="H10" s="241" t="s">
        <v>38</v>
      </c>
      <c r="I10" s="322"/>
      <c r="J10" s="276" t="s">
        <v>663</v>
      </c>
      <c r="K10" s="274"/>
      <c r="L10" s="274"/>
      <c r="M10" s="282" t="s">
        <v>25</v>
      </c>
      <c r="N10" s="254"/>
      <c r="O10" s="245"/>
      <c r="P10" s="266"/>
      <c r="Q10" s="267"/>
      <c r="R10" s="241"/>
      <c r="S10" s="242"/>
      <c r="T10" s="273"/>
      <c r="U10" s="274"/>
      <c r="V10" s="272"/>
      <c r="W10" s="254"/>
      <c r="X10" s="243">
        <v>2</v>
      </c>
      <c r="Y10" s="297" t="s">
        <v>329</v>
      </c>
      <c r="Z10" s="297" t="s">
        <v>294</v>
      </c>
      <c r="AA10" s="297" t="s">
        <v>12</v>
      </c>
      <c r="AB10" s="295" t="s">
        <v>462</v>
      </c>
      <c r="AC10" s="309" t="s">
        <v>116</v>
      </c>
      <c r="AD10" s="244">
        <v>8</v>
      </c>
    </row>
    <row r="11" spans="1:30" ht="146.69999999999999" customHeight="1" thickBot="1">
      <c r="A11" s="297" t="s">
        <v>315</v>
      </c>
      <c r="B11" s="295" t="s">
        <v>340</v>
      </c>
      <c r="C11" s="311" t="s">
        <v>107</v>
      </c>
      <c r="D11" s="312" t="s">
        <v>108</v>
      </c>
      <c r="E11" s="313">
        <v>44743</v>
      </c>
      <c r="F11" s="240" t="s">
        <v>584</v>
      </c>
      <c r="G11" s="240"/>
      <c r="H11" s="241" t="s">
        <v>34</v>
      </c>
      <c r="I11" s="242"/>
      <c r="J11" s="240" t="s">
        <v>584</v>
      </c>
      <c r="K11" s="273"/>
      <c r="L11" s="274"/>
      <c r="M11" s="282" t="s">
        <v>25</v>
      </c>
      <c r="N11" s="254"/>
      <c r="O11" s="245"/>
      <c r="P11" s="266"/>
      <c r="Q11" s="267"/>
      <c r="R11" s="241"/>
      <c r="S11" s="242"/>
      <c r="T11" s="273"/>
      <c r="U11" s="274"/>
      <c r="V11" s="272"/>
      <c r="W11" s="254"/>
      <c r="X11" s="243">
        <v>2</v>
      </c>
      <c r="Y11" s="297" t="s">
        <v>329</v>
      </c>
      <c r="Z11" s="297" t="s">
        <v>295</v>
      </c>
      <c r="AA11" s="297" t="s">
        <v>12</v>
      </c>
      <c r="AB11" s="295" t="s">
        <v>463</v>
      </c>
      <c r="AC11" s="309" t="s">
        <v>290</v>
      </c>
      <c r="AD11" s="244">
        <v>9</v>
      </c>
    </row>
    <row r="12" spans="1:30" ht="225.6" thickBot="1">
      <c r="A12" s="297" t="s">
        <v>315</v>
      </c>
      <c r="B12" s="295" t="s">
        <v>341</v>
      </c>
      <c r="C12" s="311" t="s">
        <v>107</v>
      </c>
      <c r="D12" s="312" t="s">
        <v>132</v>
      </c>
      <c r="E12" s="313">
        <v>44986</v>
      </c>
      <c r="F12" s="240"/>
      <c r="G12" s="240"/>
      <c r="H12" s="241" t="s">
        <v>38</v>
      </c>
      <c r="I12" s="242"/>
      <c r="J12" s="344" t="s">
        <v>616</v>
      </c>
      <c r="K12" s="270"/>
      <c r="L12" s="271"/>
      <c r="M12" s="282" t="s">
        <v>34</v>
      </c>
      <c r="N12" s="255"/>
      <c r="O12" s="245"/>
      <c r="P12" s="266"/>
      <c r="Q12" s="267"/>
      <c r="R12" s="241"/>
      <c r="S12" s="246"/>
      <c r="T12" s="270"/>
      <c r="U12" s="271"/>
      <c r="V12" s="272"/>
      <c r="W12" s="255"/>
      <c r="X12" s="247">
        <v>4</v>
      </c>
      <c r="Y12" s="297" t="s">
        <v>329</v>
      </c>
      <c r="Z12" s="297" t="s">
        <v>295</v>
      </c>
      <c r="AA12" s="297" t="s">
        <v>12</v>
      </c>
      <c r="AB12" s="295" t="s">
        <v>463</v>
      </c>
      <c r="AC12" s="309" t="s">
        <v>290</v>
      </c>
      <c r="AD12" s="244">
        <v>10</v>
      </c>
    </row>
    <row r="13" spans="1:30" ht="73.2" customHeight="1" thickBot="1">
      <c r="A13" s="297" t="s">
        <v>314</v>
      </c>
      <c r="B13" s="295" t="s">
        <v>342</v>
      </c>
      <c r="C13" s="311" t="s">
        <v>105</v>
      </c>
      <c r="D13" s="312" t="s">
        <v>133</v>
      </c>
      <c r="E13" s="313">
        <v>44866</v>
      </c>
      <c r="F13" s="240"/>
      <c r="G13" s="240"/>
      <c r="H13" s="241" t="s">
        <v>38</v>
      </c>
      <c r="I13" s="242"/>
      <c r="J13" s="270" t="s">
        <v>664</v>
      </c>
      <c r="K13" s="270"/>
      <c r="L13" s="271"/>
      <c r="M13" s="282" t="s">
        <v>34</v>
      </c>
      <c r="N13" s="255"/>
      <c r="O13" s="266"/>
      <c r="P13" s="266"/>
      <c r="Q13" s="267"/>
      <c r="R13" s="241"/>
      <c r="S13" s="246"/>
      <c r="T13" s="270"/>
      <c r="U13" s="271"/>
      <c r="V13" s="272"/>
      <c r="W13" s="255"/>
      <c r="X13" s="247">
        <v>3</v>
      </c>
      <c r="Y13" s="297" t="s">
        <v>329</v>
      </c>
      <c r="Z13" s="297" t="s">
        <v>294</v>
      </c>
      <c r="AA13" s="297" t="s">
        <v>12</v>
      </c>
      <c r="AB13" s="295" t="s">
        <v>463</v>
      </c>
      <c r="AC13" s="309" t="s">
        <v>290</v>
      </c>
      <c r="AD13" s="244">
        <v>11</v>
      </c>
    </row>
    <row r="14" spans="1:30" ht="73.2" customHeight="1" thickBot="1">
      <c r="A14" s="297" t="s">
        <v>324</v>
      </c>
      <c r="B14" s="295" t="s">
        <v>343</v>
      </c>
      <c r="C14" s="311" t="s">
        <v>105</v>
      </c>
      <c r="D14" s="312" t="s">
        <v>134</v>
      </c>
      <c r="E14" s="313">
        <v>44743</v>
      </c>
      <c r="F14" s="240" t="s">
        <v>529</v>
      </c>
      <c r="G14" s="240"/>
      <c r="H14" s="241" t="s">
        <v>34</v>
      </c>
      <c r="I14" s="242"/>
      <c r="J14" s="270" t="s">
        <v>691</v>
      </c>
      <c r="K14" s="270"/>
      <c r="L14" s="271"/>
      <c r="M14" s="282" t="s">
        <v>25</v>
      </c>
      <c r="N14" s="255"/>
      <c r="O14" s="266"/>
      <c r="P14" s="266"/>
      <c r="Q14" s="267"/>
      <c r="R14" s="241"/>
      <c r="S14" s="246"/>
      <c r="T14" s="270"/>
      <c r="U14" s="271"/>
      <c r="V14" s="272"/>
      <c r="W14" s="255"/>
      <c r="X14" s="247">
        <v>2</v>
      </c>
      <c r="Y14" s="297" t="s">
        <v>329</v>
      </c>
      <c r="Z14" s="297" t="s">
        <v>294</v>
      </c>
      <c r="AA14" s="297" t="s">
        <v>12</v>
      </c>
      <c r="AB14" s="295" t="s">
        <v>463</v>
      </c>
      <c r="AC14" s="309" t="s">
        <v>290</v>
      </c>
      <c r="AD14" s="244">
        <v>12</v>
      </c>
    </row>
    <row r="15" spans="1:30" ht="73.2" customHeight="1" thickBot="1">
      <c r="A15" s="297" t="s">
        <v>314</v>
      </c>
      <c r="B15" s="295" t="s">
        <v>344</v>
      </c>
      <c r="C15" s="311" t="s">
        <v>105</v>
      </c>
      <c r="D15" s="312" t="s">
        <v>135</v>
      </c>
      <c r="E15" s="313">
        <v>44986</v>
      </c>
      <c r="F15" s="240"/>
      <c r="G15" s="240"/>
      <c r="H15" s="241" t="s">
        <v>38</v>
      </c>
      <c r="I15" s="242"/>
      <c r="J15" s="270"/>
      <c r="K15" s="270"/>
      <c r="L15" s="271"/>
      <c r="M15" s="282" t="s">
        <v>38</v>
      </c>
      <c r="N15" s="255"/>
      <c r="O15" s="245"/>
      <c r="P15" s="266"/>
      <c r="Q15" s="267"/>
      <c r="R15" s="241"/>
      <c r="S15" s="246"/>
      <c r="T15" s="270"/>
      <c r="U15" s="271"/>
      <c r="V15" s="272"/>
      <c r="W15" s="255"/>
      <c r="X15" s="247">
        <v>4</v>
      </c>
      <c r="Y15" s="297" t="s">
        <v>329</v>
      </c>
      <c r="Z15" s="297" t="s">
        <v>294</v>
      </c>
      <c r="AA15" s="297" t="s">
        <v>12</v>
      </c>
      <c r="AB15" s="295" t="s">
        <v>463</v>
      </c>
      <c r="AC15" s="309" t="s">
        <v>290</v>
      </c>
      <c r="AD15" s="244">
        <v>13</v>
      </c>
    </row>
    <row r="16" spans="1:30" ht="73.2" customHeight="1" thickBot="1">
      <c r="A16" s="297" t="s">
        <v>314</v>
      </c>
      <c r="B16" s="295" t="s">
        <v>345</v>
      </c>
      <c r="C16" s="311" t="s">
        <v>105</v>
      </c>
      <c r="D16" s="312" t="s">
        <v>136</v>
      </c>
      <c r="E16" s="313">
        <v>44805</v>
      </c>
      <c r="F16" s="240" t="s">
        <v>585</v>
      </c>
      <c r="G16" s="240"/>
      <c r="H16" s="241" t="s">
        <v>25</v>
      </c>
      <c r="I16" s="242"/>
      <c r="J16" s="276"/>
      <c r="K16" s="274"/>
      <c r="L16" s="274"/>
      <c r="M16" s="282" t="s">
        <v>25</v>
      </c>
      <c r="N16" s="255"/>
      <c r="O16" s="266"/>
      <c r="P16" s="266"/>
      <c r="Q16" s="267"/>
      <c r="R16" s="241"/>
      <c r="S16" s="246"/>
      <c r="T16" s="270"/>
      <c r="U16" s="271"/>
      <c r="V16" s="272"/>
      <c r="W16" s="255"/>
      <c r="X16" s="247">
        <v>2</v>
      </c>
      <c r="Y16" s="297" t="s">
        <v>329</v>
      </c>
      <c r="Z16" s="297" t="s">
        <v>294</v>
      </c>
      <c r="AA16" s="297" t="s">
        <v>12</v>
      </c>
      <c r="AB16" s="295" t="s">
        <v>463</v>
      </c>
      <c r="AC16" s="309" t="s">
        <v>290</v>
      </c>
      <c r="AD16" s="244">
        <v>14</v>
      </c>
    </row>
    <row r="17" spans="1:30" ht="73.2" customHeight="1" thickBot="1">
      <c r="A17" s="297" t="s">
        <v>314</v>
      </c>
      <c r="B17" s="295" t="s">
        <v>346</v>
      </c>
      <c r="C17" s="311" t="s">
        <v>137</v>
      </c>
      <c r="D17" s="312" t="s">
        <v>138</v>
      </c>
      <c r="E17" s="313">
        <v>44743</v>
      </c>
      <c r="F17" s="240" t="s">
        <v>555</v>
      </c>
      <c r="G17" s="240"/>
      <c r="H17" s="241" t="s">
        <v>34</v>
      </c>
      <c r="I17" s="242"/>
      <c r="J17" s="271" t="s">
        <v>665</v>
      </c>
      <c r="K17" s="270"/>
      <c r="L17" s="271"/>
      <c r="M17" s="282" t="s">
        <v>25</v>
      </c>
      <c r="N17" s="255"/>
      <c r="O17" s="266"/>
      <c r="P17" s="266"/>
      <c r="Q17" s="267"/>
      <c r="R17" s="241"/>
      <c r="S17" s="246"/>
      <c r="T17" s="275"/>
      <c r="U17" s="271"/>
      <c r="V17" s="272"/>
      <c r="W17" s="255"/>
      <c r="X17" s="249">
        <v>2</v>
      </c>
      <c r="Y17" s="297" t="s">
        <v>329</v>
      </c>
      <c r="Z17" s="297" t="s">
        <v>294</v>
      </c>
      <c r="AA17" s="297" t="s">
        <v>12</v>
      </c>
      <c r="AB17" s="295" t="s">
        <v>464</v>
      </c>
      <c r="AC17" s="309" t="s">
        <v>290</v>
      </c>
      <c r="AD17" s="244">
        <v>15</v>
      </c>
    </row>
    <row r="18" spans="1:30" ht="73.2" customHeight="1" thickBot="1">
      <c r="A18" s="297" t="s">
        <v>314</v>
      </c>
      <c r="B18" s="295" t="s">
        <v>347</v>
      </c>
      <c r="C18" s="311" t="s">
        <v>90</v>
      </c>
      <c r="D18" s="312" t="s">
        <v>139</v>
      </c>
      <c r="E18" s="313">
        <v>44774</v>
      </c>
      <c r="F18" s="240" t="s">
        <v>556</v>
      </c>
      <c r="G18" s="240"/>
      <c r="H18" s="241" t="s">
        <v>34</v>
      </c>
      <c r="I18" s="242"/>
      <c r="J18" s="271" t="s">
        <v>666</v>
      </c>
      <c r="K18" s="270"/>
      <c r="L18" s="271"/>
      <c r="M18" s="282" t="s">
        <v>25</v>
      </c>
      <c r="N18" s="255"/>
      <c r="O18" s="266"/>
      <c r="P18" s="266"/>
      <c r="Q18" s="267"/>
      <c r="R18" s="241"/>
      <c r="S18" s="246"/>
      <c r="T18" s="270"/>
      <c r="U18" s="271"/>
      <c r="V18" s="272"/>
      <c r="W18" s="255"/>
      <c r="X18" s="249">
        <v>2</v>
      </c>
      <c r="Y18" s="297" t="s">
        <v>329</v>
      </c>
      <c r="Z18" s="297" t="s">
        <v>294</v>
      </c>
      <c r="AA18" s="297" t="s">
        <v>12</v>
      </c>
      <c r="AB18" s="295" t="s">
        <v>464</v>
      </c>
      <c r="AC18" s="309" t="s">
        <v>290</v>
      </c>
      <c r="AD18" s="244">
        <v>16</v>
      </c>
    </row>
    <row r="19" spans="1:30" ht="73.2" customHeight="1" thickBot="1">
      <c r="A19" s="297" t="s">
        <v>314</v>
      </c>
      <c r="B19" s="295" t="s">
        <v>348</v>
      </c>
      <c r="C19" s="311" t="s">
        <v>140</v>
      </c>
      <c r="D19" s="312" t="s">
        <v>141</v>
      </c>
      <c r="E19" s="313">
        <v>44927</v>
      </c>
      <c r="F19" s="240"/>
      <c r="G19" s="240"/>
      <c r="H19" s="241" t="s">
        <v>38</v>
      </c>
      <c r="I19" s="242"/>
      <c r="J19" s="271"/>
      <c r="K19" s="270"/>
      <c r="L19" s="271"/>
      <c r="M19" s="282" t="s">
        <v>38</v>
      </c>
      <c r="N19" s="255"/>
      <c r="O19" s="267"/>
      <c r="P19" s="266"/>
      <c r="Q19" s="267"/>
      <c r="R19" s="241"/>
      <c r="S19" s="246"/>
      <c r="T19" s="270"/>
      <c r="U19" s="271"/>
      <c r="V19" s="272"/>
      <c r="W19" s="255"/>
      <c r="X19" s="247">
        <v>4</v>
      </c>
      <c r="Y19" s="297" t="s">
        <v>329</v>
      </c>
      <c r="Z19" s="297" t="s">
        <v>296</v>
      </c>
      <c r="AA19" s="297" t="s">
        <v>12</v>
      </c>
      <c r="AB19" s="295" t="s">
        <v>463</v>
      </c>
      <c r="AC19" s="309" t="s">
        <v>290</v>
      </c>
      <c r="AD19" s="244">
        <v>17</v>
      </c>
    </row>
    <row r="20" spans="1:30" ht="109.95" customHeight="1" thickBot="1">
      <c r="A20" s="297" t="s">
        <v>314</v>
      </c>
      <c r="B20" s="295" t="s">
        <v>349</v>
      </c>
      <c r="C20" s="311" t="s">
        <v>91</v>
      </c>
      <c r="D20" s="312" t="s">
        <v>142</v>
      </c>
      <c r="E20" s="313">
        <v>44986</v>
      </c>
      <c r="F20" s="240" t="s">
        <v>521</v>
      </c>
      <c r="G20" s="240"/>
      <c r="H20" s="241" t="s">
        <v>34</v>
      </c>
      <c r="I20" s="242" t="s">
        <v>522</v>
      </c>
      <c r="J20" s="271" t="s">
        <v>667</v>
      </c>
      <c r="K20" s="270"/>
      <c r="L20" s="271"/>
      <c r="M20" s="282" t="s">
        <v>34</v>
      </c>
      <c r="N20" s="338"/>
      <c r="O20" s="267"/>
      <c r="P20" s="266"/>
      <c r="Q20" s="267"/>
      <c r="R20" s="241"/>
      <c r="S20" s="246"/>
      <c r="T20" s="275"/>
      <c r="U20" s="271"/>
      <c r="V20" s="272"/>
      <c r="W20" s="255"/>
      <c r="X20" s="247">
        <v>4</v>
      </c>
      <c r="Y20" s="297" t="s">
        <v>329</v>
      </c>
      <c r="Z20" s="297" t="s">
        <v>296</v>
      </c>
      <c r="AA20" s="297" t="s">
        <v>12</v>
      </c>
      <c r="AB20" s="295" t="s">
        <v>463</v>
      </c>
      <c r="AC20" s="309" t="s">
        <v>290</v>
      </c>
      <c r="AD20" s="244">
        <v>18</v>
      </c>
    </row>
    <row r="21" spans="1:30" ht="300.60000000000002" thickBot="1">
      <c r="A21" s="297" t="s">
        <v>315</v>
      </c>
      <c r="B21" s="295" t="s">
        <v>350</v>
      </c>
      <c r="C21" s="311" t="s">
        <v>143</v>
      </c>
      <c r="D21" s="312" t="s">
        <v>144</v>
      </c>
      <c r="E21" s="313" t="s">
        <v>282</v>
      </c>
      <c r="F21" s="240" t="s">
        <v>539</v>
      </c>
      <c r="G21" s="240"/>
      <c r="H21" s="241" t="s">
        <v>34</v>
      </c>
      <c r="I21" s="242"/>
      <c r="J21" s="271" t="s">
        <v>621</v>
      </c>
      <c r="K21" s="270"/>
      <c r="L21" s="271"/>
      <c r="M21" s="282" t="s">
        <v>34</v>
      </c>
      <c r="N21" s="255"/>
      <c r="O21" s="267"/>
      <c r="P21" s="266"/>
      <c r="Q21" s="267"/>
      <c r="R21" s="241"/>
      <c r="S21" s="246"/>
      <c r="T21" s="270"/>
      <c r="U21" s="271"/>
      <c r="V21" s="272"/>
      <c r="W21" s="255"/>
      <c r="X21" s="243">
        <v>4</v>
      </c>
      <c r="Y21" s="297" t="s">
        <v>329</v>
      </c>
      <c r="Z21" s="297" t="s">
        <v>295</v>
      </c>
      <c r="AA21" s="297" t="s">
        <v>12</v>
      </c>
      <c r="AB21" s="295" t="s">
        <v>463</v>
      </c>
      <c r="AC21" s="309" t="s">
        <v>290</v>
      </c>
      <c r="AD21" s="244">
        <v>19</v>
      </c>
    </row>
    <row r="22" spans="1:30" ht="73.2" customHeight="1" thickBot="1">
      <c r="A22" s="297" t="s">
        <v>316</v>
      </c>
      <c r="B22" s="295" t="s">
        <v>351</v>
      </c>
      <c r="C22" s="311" t="s">
        <v>6</v>
      </c>
      <c r="D22" s="312" t="s">
        <v>145</v>
      </c>
      <c r="E22" s="313"/>
      <c r="F22" s="353" t="s">
        <v>699</v>
      </c>
      <c r="G22" s="323">
        <v>1</v>
      </c>
      <c r="H22" s="241" t="s">
        <v>34</v>
      </c>
      <c r="I22" s="242"/>
      <c r="J22" s="273" t="s">
        <v>648</v>
      </c>
      <c r="K22" s="273"/>
      <c r="L22" s="274"/>
      <c r="M22" s="282" t="s">
        <v>34</v>
      </c>
      <c r="N22" s="254"/>
      <c r="O22" s="266"/>
      <c r="P22" s="266"/>
      <c r="Q22" s="267"/>
      <c r="R22" s="241"/>
      <c r="S22" s="242"/>
      <c r="T22" s="273"/>
      <c r="U22" s="274"/>
      <c r="V22" s="272"/>
      <c r="W22" s="254"/>
      <c r="X22" s="243"/>
      <c r="Y22" s="297" t="s">
        <v>307</v>
      </c>
      <c r="Z22" s="297" t="s">
        <v>297</v>
      </c>
      <c r="AA22" s="297" t="s">
        <v>12</v>
      </c>
      <c r="AB22" s="295" t="s">
        <v>465</v>
      </c>
      <c r="AC22" s="309" t="s">
        <v>291</v>
      </c>
      <c r="AD22" s="244">
        <v>20</v>
      </c>
    </row>
    <row r="23" spans="1:30" ht="73.2" customHeight="1" thickBot="1">
      <c r="A23" s="297" t="s">
        <v>316</v>
      </c>
      <c r="B23" s="295" t="s">
        <v>352</v>
      </c>
      <c r="C23" s="311" t="s">
        <v>7</v>
      </c>
      <c r="D23" s="312" t="s">
        <v>145</v>
      </c>
      <c r="E23" s="313"/>
      <c r="F23" s="324" t="s">
        <v>506</v>
      </c>
      <c r="G23" s="323">
        <v>0.9</v>
      </c>
      <c r="H23" s="241" t="s">
        <v>34</v>
      </c>
      <c r="I23" s="242"/>
      <c r="J23" s="317" t="s">
        <v>649</v>
      </c>
      <c r="K23" s="273"/>
      <c r="L23" s="274"/>
      <c r="M23" s="282" t="s">
        <v>34</v>
      </c>
      <c r="N23" s="254"/>
      <c r="O23" s="267"/>
      <c r="P23" s="266"/>
      <c r="Q23" s="267"/>
      <c r="R23" s="241"/>
      <c r="S23" s="242"/>
      <c r="T23" s="273"/>
      <c r="U23" s="274"/>
      <c r="V23" s="272"/>
      <c r="W23" s="254"/>
      <c r="X23" s="243"/>
      <c r="Y23" s="297" t="s">
        <v>307</v>
      </c>
      <c r="Z23" s="297" t="s">
        <v>297</v>
      </c>
      <c r="AA23" s="297" t="s">
        <v>12</v>
      </c>
      <c r="AB23" s="295" t="s">
        <v>465</v>
      </c>
      <c r="AC23" s="309" t="s">
        <v>291</v>
      </c>
      <c r="AD23" s="244">
        <v>21</v>
      </c>
    </row>
    <row r="24" spans="1:30" ht="73.2" customHeight="1" thickBot="1">
      <c r="A24" s="297" t="s">
        <v>316</v>
      </c>
      <c r="B24" s="295" t="s">
        <v>353</v>
      </c>
      <c r="C24" s="311" t="s">
        <v>8</v>
      </c>
      <c r="D24" s="312" t="s">
        <v>145</v>
      </c>
      <c r="E24" s="313"/>
      <c r="F24" s="324" t="s">
        <v>507</v>
      </c>
      <c r="G24" s="323">
        <v>0.96</v>
      </c>
      <c r="H24" s="241" t="s">
        <v>34</v>
      </c>
      <c r="I24" s="322"/>
      <c r="J24" s="273" t="s">
        <v>650</v>
      </c>
      <c r="K24" s="273"/>
      <c r="L24" s="274"/>
      <c r="M24" s="282" t="s">
        <v>34</v>
      </c>
      <c r="N24" s="254"/>
      <c r="O24" s="266"/>
      <c r="P24" s="266"/>
      <c r="Q24" s="267"/>
      <c r="R24" s="241"/>
      <c r="S24" s="242"/>
      <c r="T24" s="273"/>
      <c r="U24" s="274"/>
      <c r="V24" s="272"/>
      <c r="W24" s="254"/>
      <c r="X24" s="243"/>
      <c r="Y24" s="297" t="s">
        <v>307</v>
      </c>
      <c r="Z24" s="297" t="s">
        <v>297</v>
      </c>
      <c r="AA24" s="297" t="s">
        <v>12</v>
      </c>
      <c r="AB24" s="295" t="s">
        <v>465</v>
      </c>
      <c r="AC24" s="309" t="s">
        <v>291</v>
      </c>
      <c r="AD24" s="244">
        <v>22</v>
      </c>
    </row>
    <row r="25" spans="1:30" ht="73.2" customHeight="1" thickBot="1">
      <c r="A25" s="297" t="s">
        <v>316</v>
      </c>
      <c r="B25" s="295" t="s">
        <v>354</v>
      </c>
      <c r="C25" s="311" t="s">
        <v>146</v>
      </c>
      <c r="D25" s="312" t="s">
        <v>147</v>
      </c>
      <c r="E25" s="313"/>
      <c r="F25" s="321"/>
      <c r="G25" s="240"/>
      <c r="H25" s="241" t="s">
        <v>38</v>
      </c>
      <c r="I25" s="242"/>
      <c r="J25" s="273"/>
      <c r="K25" s="273"/>
      <c r="L25" s="274"/>
      <c r="M25" s="282" t="s">
        <v>38</v>
      </c>
      <c r="N25" s="254"/>
      <c r="O25" s="266"/>
      <c r="P25" s="266"/>
      <c r="Q25" s="267"/>
      <c r="R25" s="241"/>
      <c r="S25" s="242"/>
      <c r="T25" s="273"/>
      <c r="U25" s="282"/>
      <c r="V25" s="272"/>
      <c r="W25" s="254"/>
      <c r="X25" s="247"/>
      <c r="Y25" s="297" t="s">
        <v>307</v>
      </c>
      <c r="Z25" s="297" t="s">
        <v>297</v>
      </c>
      <c r="AA25" s="297" t="s">
        <v>12</v>
      </c>
      <c r="AB25" s="295" t="s">
        <v>465</v>
      </c>
      <c r="AC25" s="309" t="s">
        <v>291</v>
      </c>
      <c r="AD25" s="244">
        <v>23</v>
      </c>
    </row>
    <row r="26" spans="1:30" ht="73.2" customHeight="1" thickBot="1">
      <c r="A26" s="297" t="s">
        <v>316</v>
      </c>
      <c r="B26" s="295" t="s">
        <v>355</v>
      </c>
      <c r="C26" s="311" t="s">
        <v>146</v>
      </c>
      <c r="D26" s="312" t="s">
        <v>148</v>
      </c>
      <c r="E26" s="313">
        <v>44713</v>
      </c>
      <c r="F26" s="240" t="s">
        <v>511</v>
      </c>
      <c r="G26" s="240"/>
      <c r="H26" s="241" t="s">
        <v>25</v>
      </c>
      <c r="I26" s="242"/>
      <c r="J26" s="273"/>
      <c r="K26" s="339"/>
      <c r="L26" s="274"/>
      <c r="M26" s="282" t="s">
        <v>25</v>
      </c>
      <c r="N26" s="254"/>
      <c r="O26" s="266"/>
      <c r="P26" s="266"/>
      <c r="Q26" s="267"/>
      <c r="R26" s="241"/>
      <c r="S26" s="242"/>
      <c r="T26" s="273"/>
      <c r="U26" s="282"/>
      <c r="V26" s="272"/>
      <c r="W26" s="254"/>
      <c r="X26" s="243">
        <v>1</v>
      </c>
      <c r="Y26" s="297" t="s">
        <v>307</v>
      </c>
      <c r="Z26" s="297" t="s">
        <v>297</v>
      </c>
      <c r="AA26" s="297" t="s">
        <v>12</v>
      </c>
      <c r="AB26" s="295" t="s">
        <v>465</v>
      </c>
      <c r="AC26" s="309" t="s">
        <v>291</v>
      </c>
      <c r="AD26" s="244">
        <v>24</v>
      </c>
    </row>
    <row r="27" spans="1:30" ht="73.2" customHeight="1" thickBot="1">
      <c r="A27" s="297" t="s">
        <v>317</v>
      </c>
      <c r="B27" s="295" t="s">
        <v>356</v>
      </c>
      <c r="C27" s="311" t="s">
        <v>149</v>
      </c>
      <c r="D27" s="312" t="s">
        <v>150</v>
      </c>
      <c r="E27" s="313"/>
      <c r="F27" s="240" t="s">
        <v>557</v>
      </c>
      <c r="G27" s="240"/>
      <c r="H27" s="241" t="s">
        <v>34</v>
      </c>
      <c r="I27" s="322"/>
      <c r="J27" s="275" t="s">
        <v>622</v>
      </c>
      <c r="K27" s="273"/>
      <c r="L27" s="274"/>
      <c r="M27" s="282" t="s">
        <v>34</v>
      </c>
      <c r="N27" s="254"/>
      <c r="O27" s="248"/>
      <c r="P27" s="266"/>
      <c r="Q27" s="267"/>
      <c r="R27" s="241"/>
      <c r="S27" s="242"/>
      <c r="T27" s="248"/>
      <c r="U27" s="274"/>
      <c r="V27" s="272"/>
      <c r="W27" s="254"/>
      <c r="X27" s="243"/>
      <c r="Y27" s="297" t="s">
        <v>307</v>
      </c>
      <c r="Z27" s="297" t="s">
        <v>297</v>
      </c>
      <c r="AA27" s="297" t="s">
        <v>12</v>
      </c>
      <c r="AB27" s="295" t="s">
        <v>465</v>
      </c>
      <c r="AC27" s="309" t="s">
        <v>291</v>
      </c>
      <c r="AD27" s="244">
        <v>25</v>
      </c>
    </row>
    <row r="28" spans="1:30" ht="73.2" customHeight="1" thickBot="1">
      <c r="A28" s="297" t="s">
        <v>317</v>
      </c>
      <c r="B28" s="295" t="s">
        <v>357</v>
      </c>
      <c r="C28" s="311" t="s">
        <v>149</v>
      </c>
      <c r="D28" s="312" t="s">
        <v>151</v>
      </c>
      <c r="E28" s="313"/>
      <c r="F28" s="240"/>
      <c r="G28" s="240"/>
      <c r="H28" s="241" t="s">
        <v>38</v>
      </c>
      <c r="I28" s="242"/>
      <c r="J28" s="274" t="s">
        <v>623</v>
      </c>
      <c r="K28" s="273"/>
      <c r="L28" s="274"/>
      <c r="M28" s="282" t="s">
        <v>34</v>
      </c>
      <c r="N28" s="254"/>
      <c r="O28" s="266"/>
      <c r="P28" s="266"/>
      <c r="Q28" s="267"/>
      <c r="R28" s="241"/>
      <c r="S28" s="242"/>
      <c r="T28" s="273"/>
      <c r="U28" s="274"/>
      <c r="V28" s="272"/>
      <c r="W28" s="254"/>
      <c r="X28" s="247"/>
      <c r="Y28" s="297" t="s">
        <v>307</v>
      </c>
      <c r="Z28" s="297" t="s">
        <v>297</v>
      </c>
      <c r="AA28" s="297" t="s">
        <v>12</v>
      </c>
      <c r="AB28" s="295" t="s">
        <v>465</v>
      </c>
      <c r="AC28" s="309" t="s">
        <v>291</v>
      </c>
      <c r="AD28" s="244">
        <v>26</v>
      </c>
    </row>
    <row r="29" spans="1:30" ht="73.2" customHeight="1" thickBot="1">
      <c r="A29" s="297" t="s">
        <v>317</v>
      </c>
      <c r="B29" s="295" t="s">
        <v>358</v>
      </c>
      <c r="C29" s="311" t="s">
        <v>152</v>
      </c>
      <c r="D29" s="312" t="s">
        <v>153</v>
      </c>
      <c r="E29" s="313"/>
      <c r="F29" s="288" t="s">
        <v>558</v>
      </c>
      <c r="G29" s="240"/>
      <c r="H29" s="241" t="s">
        <v>34</v>
      </c>
      <c r="I29" s="322"/>
      <c r="J29" s="274" t="s">
        <v>624</v>
      </c>
      <c r="K29" s="273"/>
      <c r="L29" s="274"/>
      <c r="M29" s="282" t="s">
        <v>34</v>
      </c>
      <c r="N29" s="254"/>
      <c r="O29" s="266"/>
      <c r="P29" s="266"/>
      <c r="Q29" s="267"/>
      <c r="R29" s="241"/>
      <c r="S29" s="242"/>
      <c r="T29" s="266"/>
      <c r="U29" s="274"/>
      <c r="V29" s="272"/>
      <c r="W29" s="254"/>
      <c r="X29" s="243"/>
      <c r="Y29" s="297" t="s">
        <v>307</v>
      </c>
      <c r="Z29" s="297" t="s">
        <v>297</v>
      </c>
      <c r="AA29" s="297" t="s">
        <v>12</v>
      </c>
      <c r="AB29" s="295" t="s">
        <v>465</v>
      </c>
      <c r="AC29" s="309" t="s">
        <v>291</v>
      </c>
      <c r="AD29" s="244">
        <v>27</v>
      </c>
    </row>
    <row r="30" spans="1:30" ht="76.2" customHeight="1" thickBot="1">
      <c r="A30" s="297" t="s">
        <v>542</v>
      </c>
      <c r="B30" s="295" t="s">
        <v>359</v>
      </c>
      <c r="C30" s="311" t="s">
        <v>154</v>
      </c>
      <c r="D30" s="312" t="s">
        <v>155</v>
      </c>
      <c r="E30" s="313">
        <v>44743</v>
      </c>
      <c r="F30" s="240" t="s">
        <v>586</v>
      </c>
      <c r="G30" s="240"/>
      <c r="H30" s="241" t="s">
        <v>34</v>
      </c>
      <c r="I30" s="242"/>
      <c r="J30" s="270" t="s">
        <v>683</v>
      </c>
      <c r="K30" s="270"/>
      <c r="L30" s="271"/>
      <c r="M30" s="282" t="s">
        <v>25</v>
      </c>
      <c r="N30" s="255"/>
      <c r="O30" s="266"/>
      <c r="P30" s="266"/>
      <c r="Q30" s="267"/>
      <c r="R30" s="241"/>
      <c r="S30" s="246"/>
      <c r="T30" s="270"/>
      <c r="U30" s="271"/>
      <c r="V30" s="272"/>
      <c r="W30" s="255"/>
      <c r="X30" s="243">
        <v>2</v>
      </c>
      <c r="Y30" s="297" t="s">
        <v>318</v>
      </c>
      <c r="Z30" s="297" t="s">
        <v>298</v>
      </c>
      <c r="AA30" s="297" t="s">
        <v>12</v>
      </c>
      <c r="AB30" s="295" t="s">
        <v>465</v>
      </c>
      <c r="AC30" s="309" t="s">
        <v>291</v>
      </c>
      <c r="AD30" s="244">
        <v>28</v>
      </c>
    </row>
    <row r="31" spans="1:30" ht="78" customHeight="1" thickBot="1">
      <c r="A31" s="297" t="s">
        <v>542</v>
      </c>
      <c r="B31" s="295" t="s">
        <v>360</v>
      </c>
      <c r="C31" s="311" t="s">
        <v>154</v>
      </c>
      <c r="D31" s="312" t="s">
        <v>156</v>
      </c>
      <c r="E31" s="313">
        <v>44805</v>
      </c>
      <c r="F31" s="240" t="s">
        <v>559</v>
      </c>
      <c r="G31" s="240"/>
      <c r="H31" s="241" t="s">
        <v>29</v>
      </c>
      <c r="I31" s="242"/>
      <c r="J31" s="271" t="s">
        <v>678</v>
      </c>
      <c r="K31" s="270"/>
      <c r="L31" s="271"/>
      <c r="M31" s="282" t="s">
        <v>29</v>
      </c>
      <c r="N31" s="271" t="s">
        <v>678</v>
      </c>
      <c r="O31" s="267"/>
      <c r="P31" s="266"/>
      <c r="Q31" s="267"/>
      <c r="R31" s="241"/>
      <c r="S31" s="246"/>
      <c r="T31" s="292"/>
      <c r="U31" s="271"/>
      <c r="V31" s="272"/>
      <c r="W31" s="255"/>
      <c r="X31" s="243">
        <v>2</v>
      </c>
      <c r="Y31" s="297" t="s">
        <v>318</v>
      </c>
      <c r="Z31" s="297" t="s">
        <v>298</v>
      </c>
      <c r="AA31" s="297" t="s">
        <v>12</v>
      </c>
      <c r="AB31" s="295" t="s">
        <v>465</v>
      </c>
      <c r="AC31" s="309" t="s">
        <v>291</v>
      </c>
      <c r="AD31" s="244">
        <v>29</v>
      </c>
    </row>
    <row r="32" spans="1:30" ht="78" customHeight="1" thickBot="1">
      <c r="A32" s="297" t="s">
        <v>542</v>
      </c>
      <c r="B32" s="295" t="s">
        <v>361</v>
      </c>
      <c r="C32" s="311" t="s">
        <v>109</v>
      </c>
      <c r="D32" s="312" t="s">
        <v>157</v>
      </c>
      <c r="E32" s="313">
        <v>44835</v>
      </c>
      <c r="F32" s="240" t="s">
        <v>587</v>
      </c>
      <c r="G32" s="240"/>
      <c r="H32" s="241" t="s">
        <v>34</v>
      </c>
      <c r="I32" s="242"/>
      <c r="J32" s="270" t="s">
        <v>682</v>
      </c>
      <c r="K32" s="270"/>
      <c r="L32" s="271"/>
      <c r="M32" s="282" t="s">
        <v>34</v>
      </c>
      <c r="N32" s="255"/>
      <c r="O32" s="266"/>
      <c r="P32" s="266"/>
      <c r="Q32" s="267"/>
      <c r="R32" s="241"/>
      <c r="S32" s="246"/>
      <c r="T32" s="270"/>
      <c r="U32" s="271"/>
      <c r="V32" s="272"/>
      <c r="W32" s="255"/>
      <c r="X32" s="247">
        <v>3</v>
      </c>
      <c r="Y32" s="297" t="s">
        <v>318</v>
      </c>
      <c r="Z32" s="297" t="s">
        <v>298</v>
      </c>
      <c r="AA32" s="297" t="s">
        <v>12</v>
      </c>
      <c r="AB32" s="295" t="s">
        <v>465</v>
      </c>
      <c r="AC32" s="309" t="s">
        <v>291</v>
      </c>
      <c r="AD32" s="244">
        <v>30</v>
      </c>
    </row>
    <row r="33" spans="1:30" ht="78" customHeight="1" thickBot="1">
      <c r="A33" s="297" t="s">
        <v>542</v>
      </c>
      <c r="B33" s="295" t="s">
        <v>362</v>
      </c>
      <c r="C33" s="311" t="s">
        <v>109</v>
      </c>
      <c r="D33" s="312" t="s">
        <v>158</v>
      </c>
      <c r="E33" s="313">
        <v>44743</v>
      </c>
      <c r="F33" s="240" t="s">
        <v>509</v>
      </c>
      <c r="G33" s="240"/>
      <c r="H33" s="241" t="s">
        <v>34</v>
      </c>
      <c r="I33" s="242"/>
      <c r="J33" s="274" t="s">
        <v>681</v>
      </c>
      <c r="K33" s="273"/>
      <c r="L33" s="274"/>
      <c r="M33" s="282" t="s">
        <v>25</v>
      </c>
      <c r="N33" s="254"/>
      <c r="O33" s="266"/>
      <c r="P33" s="266"/>
      <c r="Q33" s="267"/>
      <c r="R33" s="241"/>
      <c r="S33" s="242"/>
      <c r="T33" s="273"/>
      <c r="U33" s="274"/>
      <c r="V33" s="272"/>
      <c r="W33" s="254"/>
      <c r="X33" s="243">
        <v>2</v>
      </c>
      <c r="Y33" s="297" t="s">
        <v>318</v>
      </c>
      <c r="Z33" s="297" t="s">
        <v>298</v>
      </c>
      <c r="AA33" s="297" t="s">
        <v>12</v>
      </c>
      <c r="AB33" s="295" t="s">
        <v>465</v>
      </c>
      <c r="AC33" s="309" t="s">
        <v>291</v>
      </c>
      <c r="AD33" s="244">
        <v>31</v>
      </c>
    </row>
    <row r="34" spans="1:30" ht="78" customHeight="1" thickBot="1">
      <c r="A34" s="297" t="s">
        <v>542</v>
      </c>
      <c r="B34" s="295" t="s">
        <v>363</v>
      </c>
      <c r="C34" s="311" t="s">
        <v>109</v>
      </c>
      <c r="D34" s="312" t="s">
        <v>159</v>
      </c>
      <c r="E34" s="313">
        <v>44986</v>
      </c>
      <c r="F34" s="230"/>
      <c r="G34" s="240"/>
      <c r="H34" s="241" t="s">
        <v>38</v>
      </c>
      <c r="I34" s="242"/>
      <c r="J34" s="270" t="s">
        <v>675</v>
      </c>
      <c r="K34" s="270"/>
      <c r="L34" s="271"/>
      <c r="M34" s="282" t="s">
        <v>34</v>
      </c>
      <c r="N34" s="255"/>
      <c r="O34" s="266"/>
      <c r="P34" s="266"/>
      <c r="Q34" s="267"/>
      <c r="R34" s="241"/>
      <c r="S34" s="246"/>
      <c r="T34" s="270"/>
      <c r="U34" s="271"/>
      <c r="V34" s="272"/>
      <c r="W34" s="255"/>
      <c r="X34" s="243">
        <v>4</v>
      </c>
      <c r="Y34" s="297" t="s">
        <v>318</v>
      </c>
      <c r="Z34" s="297" t="s">
        <v>298</v>
      </c>
      <c r="AA34" s="297" t="s">
        <v>12</v>
      </c>
      <c r="AB34" s="295" t="s">
        <v>465</v>
      </c>
      <c r="AC34" s="309" t="s">
        <v>291</v>
      </c>
      <c r="AD34" s="244">
        <v>32</v>
      </c>
    </row>
    <row r="35" spans="1:30" ht="82.95" customHeight="1" thickBot="1">
      <c r="A35" s="297" t="s">
        <v>542</v>
      </c>
      <c r="B35" s="295" t="s">
        <v>364</v>
      </c>
      <c r="C35" s="311" t="s">
        <v>110</v>
      </c>
      <c r="D35" s="312" t="s">
        <v>111</v>
      </c>
      <c r="E35" s="313">
        <v>44896</v>
      </c>
      <c r="F35" s="230" t="s">
        <v>597</v>
      </c>
      <c r="G35" s="240"/>
      <c r="H35" s="241" t="s">
        <v>29</v>
      </c>
      <c r="I35" s="242"/>
      <c r="J35" s="271" t="s">
        <v>697</v>
      </c>
      <c r="K35" s="270"/>
      <c r="L35" s="271"/>
      <c r="M35" s="282" t="s">
        <v>29</v>
      </c>
      <c r="N35" s="340"/>
      <c r="O35" s="268"/>
      <c r="P35" s="266"/>
      <c r="Q35" s="267"/>
      <c r="R35" s="241"/>
      <c r="S35" s="246"/>
      <c r="T35" s="268"/>
      <c r="U35" s="271"/>
      <c r="V35" s="272"/>
      <c r="W35" s="255"/>
      <c r="X35" s="243">
        <v>3</v>
      </c>
      <c r="Y35" s="297" t="s">
        <v>318</v>
      </c>
      <c r="Z35" s="297" t="s">
        <v>298</v>
      </c>
      <c r="AA35" s="297" t="s">
        <v>12</v>
      </c>
      <c r="AB35" s="295" t="s">
        <v>465</v>
      </c>
      <c r="AC35" s="309" t="s">
        <v>291</v>
      </c>
      <c r="AD35" s="244">
        <v>33</v>
      </c>
    </row>
    <row r="36" spans="1:30" ht="73.2" customHeight="1" thickBot="1">
      <c r="A36" s="297" t="s">
        <v>542</v>
      </c>
      <c r="B36" s="295" t="s">
        <v>365</v>
      </c>
      <c r="C36" s="311" t="s">
        <v>110</v>
      </c>
      <c r="D36" s="312" t="s">
        <v>160</v>
      </c>
      <c r="E36" s="313">
        <v>44986</v>
      </c>
      <c r="F36" s="230"/>
      <c r="G36" s="240"/>
      <c r="H36" s="241" t="s">
        <v>38</v>
      </c>
      <c r="I36" s="242"/>
      <c r="J36" s="270" t="s">
        <v>684</v>
      </c>
      <c r="K36" s="270"/>
      <c r="L36" s="271"/>
      <c r="M36" s="282" t="s">
        <v>34</v>
      </c>
      <c r="N36" s="255"/>
      <c r="O36" s="266"/>
      <c r="P36" s="266"/>
      <c r="Q36" s="267"/>
      <c r="R36" s="241"/>
      <c r="S36" s="246"/>
      <c r="T36" s="270"/>
      <c r="U36" s="272"/>
      <c r="V36" s="272"/>
      <c r="W36" s="255"/>
      <c r="X36" s="247">
        <v>4</v>
      </c>
      <c r="Y36" s="297" t="s">
        <v>318</v>
      </c>
      <c r="Z36" s="297" t="s">
        <v>298</v>
      </c>
      <c r="AA36" s="297" t="s">
        <v>12</v>
      </c>
      <c r="AB36" s="295" t="s">
        <v>465</v>
      </c>
      <c r="AC36" s="309" t="s">
        <v>291</v>
      </c>
      <c r="AD36" s="244">
        <v>34</v>
      </c>
    </row>
    <row r="37" spans="1:30" ht="118.95" customHeight="1" thickBot="1">
      <c r="A37" s="297" t="s">
        <v>542</v>
      </c>
      <c r="B37" s="295" t="s">
        <v>366</v>
      </c>
      <c r="C37" s="311" t="s">
        <v>112</v>
      </c>
      <c r="D37" s="312" t="s">
        <v>161</v>
      </c>
      <c r="E37" s="313">
        <v>44986</v>
      </c>
      <c r="F37" s="230" t="s">
        <v>527</v>
      </c>
      <c r="G37" s="240"/>
      <c r="H37" s="241" t="s">
        <v>34</v>
      </c>
      <c r="I37" s="242"/>
      <c r="J37" s="271" t="s">
        <v>676</v>
      </c>
      <c r="K37" s="270"/>
      <c r="L37" s="271"/>
      <c r="M37" s="282" t="s">
        <v>34</v>
      </c>
      <c r="N37" s="255"/>
      <c r="O37" s="266"/>
      <c r="P37" s="266"/>
      <c r="Q37" s="267"/>
      <c r="R37" s="241"/>
      <c r="S37" s="246"/>
      <c r="T37" s="270"/>
      <c r="U37" s="271"/>
      <c r="V37" s="272"/>
      <c r="W37" s="255"/>
      <c r="X37" s="247">
        <v>4</v>
      </c>
      <c r="Y37" s="297" t="s">
        <v>318</v>
      </c>
      <c r="Z37" s="297" t="s">
        <v>298</v>
      </c>
      <c r="AA37" s="297" t="s">
        <v>12</v>
      </c>
      <c r="AB37" s="295" t="s">
        <v>465</v>
      </c>
      <c r="AC37" s="309" t="s">
        <v>291</v>
      </c>
      <c r="AD37" s="244">
        <v>35</v>
      </c>
    </row>
    <row r="38" spans="1:30" ht="73.2" customHeight="1" thickBot="1">
      <c r="A38" s="297" t="s">
        <v>314</v>
      </c>
      <c r="B38" s="295" t="s">
        <v>367</v>
      </c>
      <c r="C38" s="311" t="s">
        <v>112</v>
      </c>
      <c r="D38" s="312" t="s">
        <v>162</v>
      </c>
      <c r="E38" s="313">
        <v>44713</v>
      </c>
      <c r="F38" s="240" t="s">
        <v>596</v>
      </c>
      <c r="G38" s="240"/>
      <c r="H38" s="241" t="s">
        <v>25</v>
      </c>
      <c r="I38" s="242"/>
      <c r="J38" s="270"/>
      <c r="K38" s="270"/>
      <c r="L38" s="271"/>
      <c r="M38" s="282" t="s">
        <v>25</v>
      </c>
      <c r="N38" s="255"/>
      <c r="O38" s="266"/>
      <c r="P38" s="266"/>
      <c r="Q38" s="267"/>
      <c r="R38" s="241"/>
      <c r="S38" s="246"/>
      <c r="T38" s="270"/>
      <c r="U38" s="271"/>
      <c r="V38" s="272"/>
      <c r="W38" s="255"/>
      <c r="X38" s="247">
        <v>1</v>
      </c>
      <c r="Y38" s="297" t="s">
        <v>318</v>
      </c>
      <c r="Z38" s="297" t="s">
        <v>298</v>
      </c>
      <c r="AA38" s="297" t="s">
        <v>12</v>
      </c>
      <c r="AB38" s="295" t="s">
        <v>465</v>
      </c>
      <c r="AC38" s="309" t="s">
        <v>291</v>
      </c>
      <c r="AD38" s="244">
        <v>36</v>
      </c>
    </row>
    <row r="39" spans="1:30" ht="73.2" customHeight="1" thickBot="1">
      <c r="A39" s="297" t="s">
        <v>542</v>
      </c>
      <c r="B39" s="295" t="s">
        <v>368</v>
      </c>
      <c r="C39" s="311" t="s">
        <v>112</v>
      </c>
      <c r="D39" s="312" t="s">
        <v>163</v>
      </c>
      <c r="E39" s="313">
        <v>44958</v>
      </c>
      <c r="F39" s="240" t="s">
        <v>510</v>
      </c>
      <c r="G39" s="240"/>
      <c r="H39" s="241" t="s">
        <v>34</v>
      </c>
      <c r="I39" s="242"/>
      <c r="J39" s="270" t="s">
        <v>679</v>
      </c>
      <c r="K39" s="270"/>
      <c r="L39" s="271"/>
      <c r="M39" s="282" t="s">
        <v>34</v>
      </c>
      <c r="N39" s="255"/>
      <c r="O39" s="266"/>
      <c r="P39" s="266"/>
      <c r="Q39" s="267"/>
      <c r="R39" s="241"/>
      <c r="S39" s="246"/>
      <c r="T39" s="270"/>
      <c r="U39" s="271"/>
      <c r="V39" s="272"/>
      <c r="W39" s="255"/>
      <c r="X39" s="247">
        <v>4</v>
      </c>
      <c r="Y39" s="297" t="s">
        <v>318</v>
      </c>
      <c r="Z39" s="297" t="s">
        <v>298</v>
      </c>
      <c r="AA39" s="297" t="s">
        <v>12</v>
      </c>
      <c r="AB39" s="295" t="s">
        <v>465</v>
      </c>
      <c r="AC39" s="309" t="s">
        <v>291</v>
      </c>
      <c r="AD39" s="244">
        <v>37</v>
      </c>
    </row>
    <row r="40" spans="1:30" ht="73.2" customHeight="1" thickBot="1">
      <c r="A40" s="297" t="s">
        <v>542</v>
      </c>
      <c r="B40" s="295" t="s">
        <v>369</v>
      </c>
      <c r="C40" s="311" t="s">
        <v>112</v>
      </c>
      <c r="D40" s="312" t="s">
        <v>164</v>
      </c>
      <c r="E40" s="313">
        <v>44986</v>
      </c>
      <c r="F40" s="240" t="s">
        <v>560</v>
      </c>
      <c r="G40" s="240"/>
      <c r="H40" s="241" t="s">
        <v>34</v>
      </c>
      <c r="I40" s="242"/>
      <c r="J40" s="270" t="s">
        <v>680</v>
      </c>
      <c r="K40" s="270"/>
      <c r="L40" s="271"/>
      <c r="M40" s="282" t="s">
        <v>34</v>
      </c>
      <c r="N40" s="255"/>
      <c r="O40" s="266"/>
      <c r="P40" s="266"/>
      <c r="Q40" s="267"/>
      <c r="R40" s="241"/>
      <c r="S40" s="246"/>
      <c r="T40" s="270"/>
      <c r="U40" s="271"/>
      <c r="V40" s="272"/>
      <c r="W40" s="255"/>
      <c r="X40" s="247">
        <v>4</v>
      </c>
      <c r="Y40" s="297" t="s">
        <v>318</v>
      </c>
      <c r="Z40" s="297" t="s">
        <v>298</v>
      </c>
      <c r="AA40" s="297" t="s">
        <v>12</v>
      </c>
      <c r="AB40" s="295" t="s">
        <v>465</v>
      </c>
      <c r="AC40" s="309" t="s">
        <v>291</v>
      </c>
      <c r="AD40" s="244">
        <v>38</v>
      </c>
    </row>
    <row r="41" spans="1:30" ht="73.2" customHeight="1" thickBot="1">
      <c r="A41" s="297" t="s">
        <v>542</v>
      </c>
      <c r="B41" s="295" t="s">
        <v>370</v>
      </c>
      <c r="C41" s="311" t="s">
        <v>112</v>
      </c>
      <c r="D41" s="312" t="s">
        <v>165</v>
      </c>
      <c r="E41" s="313">
        <v>44774</v>
      </c>
      <c r="F41" s="325"/>
      <c r="G41" s="240"/>
      <c r="H41" s="241" t="s">
        <v>38</v>
      </c>
      <c r="I41" s="242"/>
      <c r="J41" s="270" t="s">
        <v>677</v>
      </c>
      <c r="K41" s="270"/>
      <c r="L41" s="271"/>
      <c r="M41" s="282" t="s">
        <v>25</v>
      </c>
      <c r="N41" s="255"/>
      <c r="O41" s="266"/>
      <c r="P41" s="266"/>
      <c r="Q41" s="267"/>
      <c r="R41" s="241"/>
      <c r="S41" s="246"/>
      <c r="T41" s="270"/>
      <c r="U41" s="271"/>
      <c r="V41" s="272"/>
      <c r="W41" s="255"/>
      <c r="X41" s="247">
        <v>2</v>
      </c>
      <c r="Y41" s="297" t="s">
        <v>318</v>
      </c>
      <c r="Z41" s="297" t="s">
        <v>298</v>
      </c>
      <c r="AA41" s="297" t="s">
        <v>12</v>
      </c>
      <c r="AB41" s="295" t="s">
        <v>465</v>
      </c>
      <c r="AC41" s="309" t="s">
        <v>291</v>
      </c>
      <c r="AD41" s="244">
        <v>39</v>
      </c>
    </row>
    <row r="42" spans="1:30" ht="73.2" customHeight="1" thickBot="1">
      <c r="A42" s="297" t="s">
        <v>317</v>
      </c>
      <c r="B42" s="295" t="s">
        <v>371</v>
      </c>
      <c r="C42" s="311" t="s">
        <v>166</v>
      </c>
      <c r="D42" s="312" t="s">
        <v>167</v>
      </c>
      <c r="E42" s="313">
        <v>44743</v>
      </c>
      <c r="F42" s="230" t="s">
        <v>530</v>
      </c>
      <c r="G42" s="240"/>
      <c r="H42" s="241" t="s">
        <v>34</v>
      </c>
      <c r="I42" s="242"/>
      <c r="J42" s="270" t="s">
        <v>625</v>
      </c>
      <c r="K42" s="270"/>
      <c r="L42" s="271"/>
      <c r="M42" s="282" t="s">
        <v>34</v>
      </c>
      <c r="N42" s="255"/>
      <c r="O42" s="266"/>
      <c r="P42" s="266"/>
      <c r="Q42" s="267"/>
      <c r="R42" s="241"/>
      <c r="S42" s="246"/>
      <c r="T42" s="270"/>
      <c r="U42" s="271"/>
      <c r="V42" s="272"/>
      <c r="W42" s="255"/>
      <c r="X42" s="247">
        <v>2</v>
      </c>
      <c r="Y42" s="297" t="s">
        <v>307</v>
      </c>
      <c r="Z42" s="297" t="s">
        <v>297</v>
      </c>
      <c r="AA42" s="297" t="s">
        <v>12</v>
      </c>
      <c r="AB42" s="295" t="s">
        <v>465</v>
      </c>
      <c r="AC42" s="309" t="s">
        <v>291</v>
      </c>
      <c r="AD42" s="244">
        <v>40</v>
      </c>
    </row>
    <row r="43" spans="1:30" ht="73.2" customHeight="1" thickBot="1">
      <c r="A43" s="297" t="s">
        <v>317</v>
      </c>
      <c r="B43" s="295" t="s">
        <v>372</v>
      </c>
      <c r="C43" s="311" t="s">
        <v>168</v>
      </c>
      <c r="D43" s="312" t="s">
        <v>169</v>
      </c>
      <c r="E43" s="313">
        <v>44986</v>
      </c>
      <c r="F43" s="288"/>
      <c r="G43" s="240"/>
      <c r="H43" s="241" t="s">
        <v>38</v>
      </c>
      <c r="I43" s="322"/>
      <c r="J43" s="270"/>
      <c r="K43" s="270"/>
      <c r="L43" s="271"/>
      <c r="M43" s="282" t="s">
        <v>34</v>
      </c>
      <c r="N43" s="255" t="s">
        <v>626</v>
      </c>
      <c r="O43" s="266"/>
      <c r="P43" s="266"/>
      <c r="Q43" s="267"/>
      <c r="R43" s="241"/>
      <c r="S43" s="246"/>
      <c r="T43" s="270"/>
      <c r="U43" s="271"/>
      <c r="V43" s="272"/>
      <c r="W43" s="255"/>
      <c r="X43" s="247">
        <v>4</v>
      </c>
      <c r="Y43" s="297" t="s">
        <v>307</v>
      </c>
      <c r="Z43" s="297" t="s">
        <v>297</v>
      </c>
      <c r="AA43" s="297" t="s">
        <v>12</v>
      </c>
      <c r="AB43" s="295" t="s">
        <v>465</v>
      </c>
      <c r="AC43" s="309" t="s">
        <v>291</v>
      </c>
      <c r="AD43" s="244">
        <v>41</v>
      </c>
    </row>
    <row r="44" spans="1:30" ht="73.2" customHeight="1" thickBot="1">
      <c r="A44" s="297" t="s">
        <v>316</v>
      </c>
      <c r="B44" s="295" t="s">
        <v>373</v>
      </c>
      <c r="C44" s="311" t="s">
        <v>168</v>
      </c>
      <c r="D44" s="312" t="s">
        <v>561</v>
      </c>
      <c r="E44" s="313">
        <v>44986</v>
      </c>
      <c r="F44" s="258"/>
      <c r="G44" s="326"/>
      <c r="H44" s="241" t="s">
        <v>38</v>
      </c>
      <c r="I44" s="242"/>
      <c r="J44" s="341"/>
      <c r="K44" s="274"/>
      <c r="L44" s="274"/>
      <c r="M44" s="282" t="s">
        <v>38</v>
      </c>
      <c r="N44" s="318"/>
      <c r="O44" s="266"/>
      <c r="P44" s="266"/>
      <c r="Q44" s="240"/>
      <c r="R44" s="241"/>
      <c r="S44" s="242"/>
      <c r="T44" s="280"/>
      <c r="U44" s="283"/>
      <c r="V44" s="272"/>
      <c r="W44" s="277"/>
      <c r="X44" s="247">
        <v>4</v>
      </c>
      <c r="Y44" s="297" t="s">
        <v>307</v>
      </c>
      <c r="Z44" s="297" t="s">
        <v>297</v>
      </c>
      <c r="AA44" s="297" t="s">
        <v>12</v>
      </c>
      <c r="AB44" s="295" t="s">
        <v>465</v>
      </c>
      <c r="AC44" s="309" t="s">
        <v>291</v>
      </c>
      <c r="AD44" s="244">
        <v>42</v>
      </c>
    </row>
    <row r="45" spans="1:30" ht="73.2" customHeight="1" thickBot="1">
      <c r="A45" s="297" t="s">
        <v>319</v>
      </c>
      <c r="B45" s="295" t="s">
        <v>374</v>
      </c>
      <c r="C45" s="311" t="s">
        <v>170</v>
      </c>
      <c r="D45" s="312" t="s">
        <v>171</v>
      </c>
      <c r="E45" s="313">
        <v>44986</v>
      </c>
      <c r="F45" s="258" t="s">
        <v>562</v>
      </c>
      <c r="G45" s="326"/>
      <c r="H45" s="241" t="s">
        <v>34</v>
      </c>
      <c r="I45" s="242"/>
      <c r="J45" s="341" t="s">
        <v>610</v>
      </c>
      <c r="K45" s="274"/>
      <c r="L45" s="274"/>
      <c r="M45" s="282" t="s">
        <v>34</v>
      </c>
      <c r="N45" s="277"/>
      <c r="O45" s="266"/>
      <c r="P45" s="266"/>
      <c r="Q45" s="240"/>
      <c r="R45" s="241"/>
      <c r="S45" s="242"/>
      <c r="T45" s="280"/>
      <c r="U45" s="283"/>
      <c r="V45" s="272"/>
      <c r="W45" s="277"/>
      <c r="X45" s="247">
        <v>4</v>
      </c>
      <c r="Y45" s="297" t="s">
        <v>329</v>
      </c>
      <c r="Z45" s="297" t="s">
        <v>299</v>
      </c>
      <c r="AA45" s="297" t="s">
        <v>328</v>
      </c>
      <c r="AB45" s="295" t="s">
        <v>462</v>
      </c>
      <c r="AC45" s="309" t="s">
        <v>116</v>
      </c>
      <c r="AD45" s="244">
        <v>43</v>
      </c>
    </row>
    <row r="46" spans="1:30" ht="101.7" customHeight="1" thickBot="1">
      <c r="A46" s="297" t="s">
        <v>319</v>
      </c>
      <c r="B46" s="295" t="s">
        <v>375</v>
      </c>
      <c r="C46" s="311" t="s">
        <v>172</v>
      </c>
      <c r="D46" s="312" t="s">
        <v>173</v>
      </c>
      <c r="E46" s="313">
        <v>44986</v>
      </c>
      <c r="F46" s="240" t="s">
        <v>563</v>
      </c>
      <c r="G46" s="240"/>
      <c r="H46" s="241" t="s">
        <v>34</v>
      </c>
      <c r="I46" s="242"/>
      <c r="J46" s="342" t="s">
        <v>611</v>
      </c>
      <c r="K46" s="343"/>
      <c r="L46" s="343"/>
      <c r="M46" s="282" t="s">
        <v>34</v>
      </c>
      <c r="N46" s="254"/>
      <c r="O46" s="260"/>
      <c r="P46" s="290"/>
      <c r="Q46" s="291"/>
      <c r="R46" s="241"/>
      <c r="S46" s="242"/>
      <c r="T46" s="279"/>
      <c r="U46" s="281"/>
      <c r="V46" s="272"/>
      <c r="W46" s="277"/>
      <c r="X46" s="247">
        <v>4</v>
      </c>
      <c r="Y46" s="297" t="s">
        <v>329</v>
      </c>
      <c r="Z46" s="297" t="s">
        <v>299</v>
      </c>
      <c r="AA46" s="297" t="s">
        <v>328</v>
      </c>
      <c r="AB46" s="295" t="s">
        <v>462</v>
      </c>
      <c r="AC46" s="309" t="s">
        <v>116</v>
      </c>
      <c r="AD46" s="244">
        <v>44</v>
      </c>
    </row>
    <row r="47" spans="1:30" ht="73.2" customHeight="1" thickBot="1">
      <c r="A47" s="297" t="s">
        <v>319</v>
      </c>
      <c r="B47" s="295" t="s">
        <v>376</v>
      </c>
      <c r="C47" s="311" t="s">
        <v>174</v>
      </c>
      <c r="D47" s="312" t="s">
        <v>175</v>
      </c>
      <c r="E47" s="313">
        <v>44986</v>
      </c>
      <c r="F47" s="240" t="s">
        <v>491</v>
      </c>
      <c r="G47" s="240"/>
      <c r="H47" s="241" t="s">
        <v>34</v>
      </c>
      <c r="I47" s="242"/>
      <c r="J47" s="344" t="s">
        <v>612</v>
      </c>
      <c r="K47" s="343"/>
      <c r="L47" s="343"/>
      <c r="M47" s="282" t="s">
        <v>34</v>
      </c>
      <c r="N47" s="254"/>
      <c r="O47" s="260"/>
      <c r="P47" s="261"/>
      <c r="Q47" s="259"/>
      <c r="R47" s="241"/>
      <c r="S47" s="242"/>
      <c r="T47" s="279"/>
      <c r="U47" s="281"/>
      <c r="V47" s="272"/>
      <c r="W47" s="277"/>
      <c r="X47" s="247">
        <v>4</v>
      </c>
      <c r="Y47" s="297" t="s">
        <v>329</v>
      </c>
      <c r="Z47" s="297" t="s">
        <v>299</v>
      </c>
      <c r="AA47" s="297" t="s">
        <v>328</v>
      </c>
      <c r="AB47" s="295" t="s">
        <v>462</v>
      </c>
      <c r="AC47" s="309" t="s">
        <v>116</v>
      </c>
      <c r="AD47" s="244">
        <v>45</v>
      </c>
    </row>
    <row r="48" spans="1:30" ht="73.2" customHeight="1" thickBot="1">
      <c r="A48" s="297" t="s">
        <v>319</v>
      </c>
      <c r="B48" s="295" t="s">
        <v>377</v>
      </c>
      <c r="C48" s="311" t="s">
        <v>174</v>
      </c>
      <c r="D48" s="312" t="s">
        <v>176</v>
      </c>
      <c r="E48" s="313">
        <v>44986</v>
      </c>
      <c r="F48" s="240" t="s">
        <v>492</v>
      </c>
      <c r="G48" s="240"/>
      <c r="H48" s="241" t="s">
        <v>34</v>
      </c>
      <c r="I48" s="242"/>
      <c r="J48" s="344" t="s">
        <v>613</v>
      </c>
      <c r="K48" s="343"/>
      <c r="L48" s="343"/>
      <c r="M48" s="282" t="s">
        <v>25</v>
      </c>
      <c r="N48" s="254"/>
      <c r="O48" s="265"/>
      <c r="P48" s="261"/>
      <c r="Q48" s="259"/>
      <c r="R48" s="241"/>
      <c r="S48" s="246"/>
      <c r="T48" s="279"/>
      <c r="U48" s="281"/>
      <c r="V48" s="272"/>
      <c r="W48" s="255"/>
      <c r="X48" s="247">
        <v>4</v>
      </c>
      <c r="Y48" s="297" t="s">
        <v>329</v>
      </c>
      <c r="Z48" s="297" t="s">
        <v>299</v>
      </c>
      <c r="AA48" s="297" t="s">
        <v>328</v>
      </c>
      <c r="AB48" s="295" t="s">
        <v>463</v>
      </c>
      <c r="AC48" s="309" t="s">
        <v>116</v>
      </c>
      <c r="AD48" s="244">
        <v>46</v>
      </c>
    </row>
    <row r="49" spans="1:30" ht="73.2" customHeight="1" thickBot="1">
      <c r="A49" s="297" t="s">
        <v>314</v>
      </c>
      <c r="B49" s="295" t="s">
        <v>378</v>
      </c>
      <c r="C49" s="311" t="s">
        <v>126</v>
      </c>
      <c r="D49" s="312" t="s">
        <v>177</v>
      </c>
      <c r="E49" s="313">
        <v>44743</v>
      </c>
      <c r="F49" s="240" t="s">
        <v>564</v>
      </c>
      <c r="G49" s="240"/>
      <c r="H49" s="241" t="s">
        <v>25</v>
      </c>
      <c r="I49" s="264"/>
      <c r="J49" s="273"/>
      <c r="K49" s="285"/>
      <c r="L49" s="345"/>
      <c r="M49" s="282" t="s">
        <v>25</v>
      </c>
      <c r="N49" s="254"/>
      <c r="O49" s="231"/>
      <c r="P49" s="266"/>
      <c r="Q49" s="267"/>
      <c r="R49" s="241"/>
      <c r="S49" s="242"/>
      <c r="T49" s="285"/>
      <c r="U49" s="284"/>
      <c r="V49" s="272"/>
      <c r="W49" s="254"/>
      <c r="X49" s="247">
        <v>2</v>
      </c>
      <c r="Y49" s="297" t="s">
        <v>329</v>
      </c>
      <c r="Z49" s="297" t="s">
        <v>294</v>
      </c>
      <c r="AA49" s="297" t="s">
        <v>328</v>
      </c>
      <c r="AB49" s="295" t="s">
        <v>462</v>
      </c>
      <c r="AC49" s="309" t="s">
        <v>116</v>
      </c>
      <c r="AD49" s="244">
        <v>47</v>
      </c>
    </row>
    <row r="50" spans="1:30" ht="73.2" customHeight="1" thickBot="1">
      <c r="A50" s="297" t="s">
        <v>319</v>
      </c>
      <c r="B50" s="295" t="s">
        <v>379</v>
      </c>
      <c r="C50" s="311" t="s">
        <v>178</v>
      </c>
      <c r="D50" s="312" t="s">
        <v>179</v>
      </c>
      <c r="E50" s="313">
        <v>44866</v>
      </c>
      <c r="F50" s="240" t="s">
        <v>493</v>
      </c>
      <c r="G50" s="240"/>
      <c r="H50" s="241" t="s">
        <v>34</v>
      </c>
      <c r="I50" s="242"/>
      <c r="J50" s="276" t="s">
        <v>614</v>
      </c>
      <c r="K50" s="345"/>
      <c r="L50" s="345"/>
      <c r="M50" s="282" t="s">
        <v>34</v>
      </c>
      <c r="N50" s="254"/>
      <c r="O50" s="269"/>
      <c r="P50" s="266"/>
      <c r="Q50" s="267"/>
      <c r="R50" s="241"/>
      <c r="S50" s="242"/>
      <c r="T50" s="286"/>
      <c r="U50" s="284"/>
      <c r="V50" s="272"/>
      <c r="W50" s="254"/>
      <c r="X50" s="243">
        <v>3</v>
      </c>
      <c r="Y50" s="297" t="s">
        <v>329</v>
      </c>
      <c r="Z50" s="297" t="s">
        <v>299</v>
      </c>
      <c r="AA50" s="297" t="s">
        <v>328</v>
      </c>
      <c r="AB50" s="295" t="s">
        <v>462</v>
      </c>
      <c r="AC50" s="309" t="s">
        <v>116</v>
      </c>
      <c r="AD50" s="244">
        <v>48</v>
      </c>
    </row>
    <row r="51" spans="1:30" ht="73.2" customHeight="1" thickBot="1">
      <c r="A51" s="297" t="s">
        <v>320</v>
      </c>
      <c r="B51" s="295" t="s">
        <v>380</v>
      </c>
      <c r="C51" s="311" t="s">
        <v>180</v>
      </c>
      <c r="D51" s="312" t="s">
        <v>181</v>
      </c>
      <c r="E51" s="313">
        <v>44866</v>
      </c>
      <c r="F51" s="240" t="s">
        <v>488</v>
      </c>
      <c r="G51" s="240"/>
      <c r="H51" s="241" t="s">
        <v>34</v>
      </c>
      <c r="I51" s="242"/>
      <c r="J51" s="273" t="s">
        <v>635</v>
      </c>
      <c r="K51" s="273"/>
      <c r="L51" s="274"/>
      <c r="M51" s="282" t="s">
        <v>34</v>
      </c>
      <c r="N51" s="254"/>
      <c r="O51" s="266"/>
      <c r="P51" s="266"/>
      <c r="Q51" s="267"/>
      <c r="R51" s="241"/>
      <c r="S51" s="242"/>
      <c r="T51" s="273"/>
      <c r="U51" s="282"/>
      <c r="V51" s="272"/>
      <c r="W51" s="254"/>
      <c r="X51" s="243">
        <v>3</v>
      </c>
      <c r="Y51" s="297" t="s">
        <v>329</v>
      </c>
      <c r="Z51" s="297" t="s">
        <v>300</v>
      </c>
      <c r="AA51" s="297" t="s">
        <v>328</v>
      </c>
      <c r="AB51" s="295" t="s">
        <v>464</v>
      </c>
      <c r="AC51" s="309" t="s">
        <v>116</v>
      </c>
      <c r="AD51" s="244">
        <v>49</v>
      </c>
    </row>
    <row r="52" spans="1:30" ht="100.95" customHeight="1" thickBot="1">
      <c r="A52" s="297" t="s">
        <v>320</v>
      </c>
      <c r="B52" s="295" t="s">
        <v>381</v>
      </c>
      <c r="C52" s="311" t="s">
        <v>180</v>
      </c>
      <c r="D52" s="312" t="s">
        <v>182</v>
      </c>
      <c r="E52" s="313">
        <v>44986</v>
      </c>
      <c r="F52" s="258" t="s">
        <v>588</v>
      </c>
      <c r="G52" s="240"/>
      <c r="H52" s="241" t="s">
        <v>34</v>
      </c>
      <c r="I52" s="242"/>
      <c r="J52" s="344" t="s">
        <v>636</v>
      </c>
      <c r="K52" s="346"/>
      <c r="L52" s="342"/>
      <c r="M52" s="282" t="s">
        <v>34</v>
      </c>
      <c r="N52" s="255"/>
      <c r="O52" s="266"/>
      <c r="P52" s="266"/>
      <c r="Q52" s="267"/>
      <c r="R52" s="241"/>
      <c r="S52" s="246"/>
      <c r="T52" s="280"/>
      <c r="U52" s="287"/>
      <c r="V52" s="272"/>
      <c r="W52" s="255"/>
      <c r="X52" s="247">
        <v>4</v>
      </c>
      <c r="Y52" s="297" t="s">
        <v>329</v>
      </c>
      <c r="Z52" s="297" t="s">
        <v>300</v>
      </c>
      <c r="AA52" s="297" t="s">
        <v>328</v>
      </c>
      <c r="AB52" s="295" t="s">
        <v>464</v>
      </c>
      <c r="AC52" s="309" t="s">
        <v>116</v>
      </c>
      <c r="AD52" s="244">
        <v>50</v>
      </c>
    </row>
    <row r="53" spans="1:30" ht="76.95" customHeight="1" thickBot="1">
      <c r="A53" s="297" t="s">
        <v>320</v>
      </c>
      <c r="B53" s="295" t="s">
        <v>382</v>
      </c>
      <c r="C53" s="311" t="s">
        <v>95</v>
      </c>
      <c r="D53" s="312" t="s">
        <v>183</v>
      </c>
      <c r="E53" s="313">
        <v>44896</v>
      </c>
      <c r="F53" s="258" t="s">
        <v>489</v>
      </c>
      <c r="G53" s="258"/>
      <c r="H53" s="241" t="s">
        <v>34</v>
      </c>
      <c r="I53" s="242"/>
      <c r="J53" s="280" t="s">
        <v>637</v>
      </c>
      <c r="K53" s="280"/>
      <c r="L53" s="316"/>
      <c r="M53" s="282" t="s">
        <v>34</v>
      </c>
      <c r="N53" s="254"/>
      <c r="O53" s="266"/>
      <c r="P53" s="266"/>
      <c r="Q53" s="267"/>
      <c r="R53" s="241"/>
      <c r="S53" s="246"/>
      <c r="T53" s="280"/>
      <c r="U53" s="287"/>
      <c r="V53" s="272"/>
      <c r="W53" s="255"/>
      <c r="X53" s="247">
        <v>3</v>
      </c>
      <c r="Y53" s="297" t="s">
        <v>329</v>
      </c>
      <c r="Z53" s="297" t="s">
        <v>300</v>
      </c>
      <c r="AA53" s="297" t="s">
        <v>328</v>
      </c>
      <c r="AB53" s="295" t="s">
        <v>462</v>
      </c>
      <c r="AC53" s="309" t="s">
        <v>116</v>
      </c>
      <c r="AD53" s="244">
        <v>51</v>
      </c>
    </row>
    <row r="54" spans="1:30" ht="73.2" customHeight="1" thickBot="1">
      <c r="A54" s="297" t="s">
        <v>320</v>
      </c>
      <c r="B54" s="295" t="s">
        <v>383</v>
      </c>
      <c r="C54" s="311" t="s">
        <v>184</v>
      </c>
      <c r="D54" s="312" t="s">
        <v>185</v>
      </c>
      <c r="E54" s="313">
        <v>44986</v>
      </c>
      <c r="F54" s="258" t="s">
        <v>565</v>
      </c>
      <c r="G54" s="258"/>
      <c r="H54" s="241" t="s">
        <v>34</v>
      </c>
      <c r="I54" s="242"/>
      <c r="J54" s="346" t="s">
        <v>638</v>
      </c>
      <c r="K54" s="346"/>
      <c r="L54" s="342"/>
      <c r="M54" s="282" t="s">
        <v>34</v>
      </c>
      <c r="N54" s="255"/>
      <c r="O54" s="266"/>
      <c r="P54" s="266"/>
      <c r="Q54" s="267"/>
      <c r="R54" s="241"/>
      <c r="S54" s="246"/>
      <c r="T54" s="280"/>
      <c r="U54" s="287"/>
      <c r="V54" s="272"/>
      <c r="W54" s="255"/>
      <c r="X54" s="247">
        <v>4</v>
      </c>
      <c r="Y54" s="297" t="s">
        <v>329</v>
      </c>
      <c r="Z54" s="297" t="s">
        <v>300</v>
      </c>
      <c r="AA54" s="297" t="s">
        <v>328</v>
      </c>
      <c r="AB54" s="295" t="s">
        <v>462</v>
      </c>
      <c r="AC54" s="309" t="s">
        <v>116</v>
      </c>
      <c r="AD54" s="244">
        <v>52</v>
      </c>
    </row>
    <row r="55" spans="1:30" ht="73.2" customHeight="1" thickBot="1">
      <c r="A55" s="297" t="s">
        <v>321</v>
      </c>
      <c r="B55" s="295" t="s">
        <v>384</v>
      </c>
      <c r="C55" s="311" t="s">
        <v>186</v>
      </c>
      <c r="D55" s="312" t="s">
        <v>187</v>
      </c>
      <c r="E55" s="313">
        <v>44835</v>
      </c>
      <c r="F55" s="240" t="s">
        <v>531</v>
      </c>
      <c r="G55" s="240"/>
      <c r="H55" s="241" t="s">
        <v>34</v>
      </c>
      <c r="I55" s="242"/>
      <c r="J55" s="271" t="s">
        <v>686</v>
      </c>
      <c r="K55" s="270"/>
      <c r="L55" s="271"/>
      <c r="M55" s="282" t="s">
        <v>25</v>
      </c>
      <c r="N55" s="255"/>
      <c r="O55" s="266"/>
      <c r="P55" s="266"/>
      <c r="Q55" s="267"/>
      <c r="R55" s="241"/>
      <c r="S55" s="246"/>
      <c r="T55" s="270"/>
      <c r="U55" s="271"/>
      <c r="V55" s="272"/>
      <c r="W55" s="255"/>
      <c r="X55" s="247">
        <v>3</v>
      </c>
      <c r="Y55" s="297" t="s">
        <v>329</v>
      </c>
      <c r="Z55" s="297" t="s">
        <v>301</v>
      </c>
      <c r="AA55" s="297" t="s">
        <v>328</v>
      </c>
      <c r="AB55" s="295" t="s">
        <v>463</v>
      </c>
      <c r="AC55" s="309" t="s">
        <v>116</v>
      </c>
      <c r="AD55" s="244">
        <v>53</v>
      </c>
    </row>
    <row r="56" spans="1:30" ht="103.95" customHeight="1" thickBot="1">
      <c r="A56" s="297" t="s">
        <v>321</v>
      </c>
      <c r="B56" s="295" t="s">
        <v>385</v>
      </c>
      <c r="C56" s="311" t="s">
        <v>186</v>
      </c>
      <c r="D56" s="312" t="s">
        <v>188</v>
      </c>
      <c r="E56" s="313">
        <v>44986</v>
      </c>
      <c r="F56" s="240" t="s">
        <v>589</v>
      </c>
      <c r="G56" s="240"/>
      <c r="H56" s="241" t="s">
        <v>34</v>
      </c>
      <c r="I56" s="242"/>
      <c r="J56" s="271" t="s">
        <v>687</v>
      </c>
      <c r="K56" s="270"/>
      <c r="L56" s="271"/>
      <c r="M56" s="282" t="s">
        <v>34</v>
      </c>
      <c r="N56" s="255"/>
      <c r="O56" s="266"/>
      <c r="P56" s="266"/>
      <c r="Q56" s="267"/>
      <c r="R56" s="241"/>
      <c r="S56" s="246"/>
      <c r="T56" s="270"/>
      <c r="U56" s="271"/>
      <c r="V56" s="272"/>
      <c r="W56" s="255"/>
      <c r="X56" s="247">
        <v>4</v>
      </c>
      <c r="Y56" s="297" t="s">
        <v>329</v>
      </c>
      <c r="Z56" s="297" t="s">
        <v>301</v>
      </c>
      <c r="AA56" s="297" t="s">
        <v>328</v>
      </c>
      <c r="AB56" s="295" t="s">
        <v>463</v>
      </c>
      <c r="AC56" s="309" t="s">
        <v>116</v>
      </c>
      <c r="AD56" s="244">
        <v>54</v>
      </c>
    </row>
    <row r="57" spans="1:30" ht="73.2" customHeight="1" thickBot="1">
      <c r="A57" s="297" t="s">
        <v>321</v>
      </c>
      <c r="B57" s="295" t="s">
        <v>386</v>
      </c>
      <c r="C57" s="311" t="s">
        <v>186</v>
      </c>
      <c r="D57" s="312" t="s">
        <v>189</v>
      </c>
      <c r="E57" s="313">
        <v>44805</v>
      </c>
      <c r="F57" s="240" t="s">
        <v>532</v>
      </c>
      <c r="G57" s="240"/>
      <c r="H57" s="241" t="s">
        <v>34</v>
      </c>
      <c r="I57" s="242"/>
      <c r="J57" s="273" t="s">
        <v>634</v>
      </c>
      <c r="K57" s="273"/>
      <c r="L57" s="274"/>
      <c r="M57" s="282" t="s">
        <v>25</v>
      </c>
      <c r="N57" s="254"/>
      <c r="O57" s="266"/>
      <c r="P57" s="266"/>
      <c r="Q57" s="267"/>
      <c r="R57" s="241"/>
      <c r="S57" s="242"/>
      <c r="T57" s="273"/>
      <c r="U57" s="274"/>
      <c r="V57" s="272"/>
      <c r="W57" s="254"/>
      <c r="X57" s="243">
        <v>2</v>
      </c>
      <c r="Y57" s="297" t="s">
        <v>329</v>
      </c>
      <c r="Z57" s="297" t="s">
        <v>301</v>
      </c>
      <c r="AA57" s="297" t="s">
        <v>328</v>
      </c>
      <c r="AB57" s="295" t="s">
        <v>463</v>
      </c>
      <c r="AC57" s="309" t="s">
        <v>116</v>
      </c>
      <c r="AD57" s="244">
        <v>55</v>
      </c>
    </row>
    <row r="58" spans="1:30" ht="88.95" customHeight="1" thickBot="1">
      <c r="A58" s="297" t="s">
        <v>321</v>
      </c>
      <c r="B58" s="295" t="s">
        <v>387</v>
      </c>
      <c r="C58" s="311" t="s">
        <v>186</v>
      </c>
      <c r="D58" s="312" t="s">
        <v>190</v>
      </c>
      <c r="E58" s="313">
        <v>44986</v>
      </c>
      <c r="F58" s="240" t="s">
        <v>533</v>
      </c>
      <c r="G58" s="240"/>
      <c r="H58" s="241" t="s">
        <v>34</v>
      </c>
      <c r="I58" s="242"/>
      <c r="J58" s="273" t="s">
        <v>688</v>
      </c>
      <c r="K58" s="273"/>
      <c r="L58" s="274"/>
      <c r="M58" s="282" t="s">
        <v>34</v>
      </c>
      <c r="N58" s="254"/>
      <c r="O58" s="266"/>
      <c r="P58" s="266"/>
      <c r="Q58" s="267"/>
      <c r="R58" s="241"/>
      <c r="S58" s="242"/>
      <c r="T58" s="270"/>
      <c r="U58" s="271"/>
      <c r="V58" s="272"/>
      <c r="W58" s="255"/>
      <c r="X58" s="247">
        <v>4</v>
      </c>
      <c r="Y58" s="297" t="s">
        <v>329</v>
      </c>
      <c r="Z58" s="297" t="s">
        <v>301</v>
      </c>
      <c r="AA58" s="297" t="s">
        <v>328</v>
      </c>
      <c r="AB58" s="295" t="s">
        <v>463</v>
      </c>
      <c r="AC58" s="309" t="s">
        <v>116</v>
      </c>
      <c r="AD58" s="244">
        <v>56</v>
      </c>
    </row>
    <row r="59" spans="1:30" ht="73.2" customHeight="1" thickBot="1">
      <c r="A59" s="297" t="s">
        <v>322</v>
      </c>
      <c r="B59" s="295" t="s">
        <v>388</v>
      </c>
      <c r="C59" s="311" t="s">
        <v>191</v>
      </c>
      <c r="D59" s="312" t="s">
        <v>192</v>
      </c>
      <c r="E59" s="313"/>
      <c r="F59" s="240" t="s">
        <v>508</v>
      </c>
      <c r="G59" s="240"/>
      <c r="H59" s="241" t="s">
        <v>38</v>
      </c>
      <c r="I59" s="322"/>
      <c r="J59" s="273" t="s">
        <v>633</v>
      </c>
      <c r="K59" s="273"/>
      <c r="L59" s="274"/>
      <c r="M59" s="282" t="s">
        <v>34</v>
      </c>
      <c r="N59" s="254"/>
      <c r="O59" s="266"/>
      <c r="P59" s="266"/>
      <c r="Q59" s="267"/>
      <c r="R59" s="241"/>
      <c r="S59" s="242"/>
      <c r="T59" s="273"/>
      <c r="U59" s="274"/>
      <c r="V59" s="272"/>
      <c r="W59" s="254"/>
      <c r="X59" s="243"/>
      <c r="Y59" s="297" t="s">
        <v>307</v>
      </c>
      <c r="Z59" s="297" t="s">
        <v>302</v>
      </c>
      <c r="AA59" s="297" t="s">
        <v>328</v>
      </c>
      <c r="AB59" s="295" t="s">
        <v>464</v>
      </c>
      <c r="AC59" s="309" t="s">
        <v>292</v>
      </c>
      <c r="AD59" s="244">
        <v>57</v>
      </c>
    </row>
    <row r="60" spans="1:30" ht="73.2" customHeight="1" thickBot="1">
      <c r="A60" s="297" t="s">
        <v>322</v>
      </c>
      <c r="B60" s="295" t="s">
        <v>389</v>
      </c>
      <c r="C60" s="311" t="s">
        <v>191</v>
      </c>
      <c r="D60" s="312" t="s">
        <v>193</v>
      </c>
      <c r="E60" s="313"/>
      <c r="F60" s="240" t="s">
        <v>508</v>
      </c>
      <c r="G60" s="240"/>
      <c r="H60" s="241" t="s">
        <v>38</v>
      </c>
      <c r="I60" s="322"/>
      <c r="J60" s="273" t="s">
        <v>633</v>
      </c>
      <c r="K60" s="273"/>
      <c r="L60" s="274"/>
      <c r="M60" s="282" t="s">
        <v>34</v>
      </c>
      <c r="N60" s="254"/>
      <c r="O60" s="266"/>
      <c r="P60" s="266"/>
      <c r="Q60" s="267"/>
      <c r="R60" s="241"/>
      <c r="S60" s="242"/>
      <c r="T60" s="266"/>
      <c r="U60" s="274"/>
      <c r="V60" s="272"/>
      <c r="W60" s="254"/>
      <c r="X60" s="243"/>
      <c r="Y60" s="297" t="s">
        <v>307</v>
      </c>
      <c r="Z60" s="297" t="s">
        <v>302</v>
      </c>
      <c r="AA60" s="297" t="s">
        <v>328</v>
      </c>
      <c r="AB60" s="295" t="s">
        <v>464</v>
      </c>
      <c r="AC60" s="309" t="s">
        <v>292</v>
      </c>
      <c r="AD60" s="244">
        <v>58</v>
      </c>
    </row>
    <row r="61" spans="1:30" ht="73.2" customHeight="1" thickBot="1">
      <c r="A61" s="297" t="s">
        <v>322</v>
      </c>
      <c r="B61" s="295" t="s">
        <v>390</v>
      </c>
      <c r="C61" s="311" t="s">
        <v>191</v>
      </c>
      <c r="D61" s="312" t="s">
        <v>194</v>
      </c>
      <c r="E61" s="313"/>
      <c r="F61" s="240" t="s">
        <v>508</v>
      </c>
      <c r="G61" s="240"/>
      <c r="H61" s="241" t="s">
        <v>38</v>
      </c>
      <c r="I61" s="322"/>
      <c r="J61" s="273" t="s">
        <v>633</v>
      </c>
      <c r="K61" s="273"/>
      <c r="L61" s="274"/>
      <c r="M61" s="282" t="s">
        <v>34</v>
      </c>
      <c r="N61" s="254"/>
      <c r="O61" s="266"/>
      <c r="P61" s="266"/>
      <c r="Q61" s="267"/>
      <c r="R61" s="241"/>
      <c r="S61" s="242"/>
      <c r="T61" s="273"/>
      <c r="U61" s="274"/>
      <c r="V61" s="272"/>
      <c r="W61" s="254"/>
      <c r="X61" s="243"/>
      <c r="Y61" s="297" t="s">
        <v>307</v>
      </c>
      <c r="Z61" s="297" t="s">
        <v>302</v>
      </c>
      <c r="AA61" s="297" t="s">
        <v>328</v>
      </c>
      <c r="AB61" s="295" t="s">
        <v>464</v>
      </c>
      <c r="AC61" s="309" t="s">
        <v>292</v>
      </c>
      <c r="AD61" s="244">
        <v>59</v>
      </c>
    </row>
    <row r="62" spans="1:30" ht="73.2" customHeight="1" thickBot="1">
      <c r="A62" s="297" t="s">
        <v>322</v>
      </c>
      <c r="B62" s="295" t="s">
        <v>391</v>
      </c>
      <c r="C62" s="311" t="s">
        <v>191</v>
      </c>
      <c r="D62" s="312" t="s">
        <v>195</v>
      </c>
      <c r="E62" s="313"/>
      <c r="F62" s="240" t="s">
        <v>508</v>
      </c>
      <c r="G62" s="240"/>
      <c r="H62" s="241" t="s">
        <v>38</v>
      </c>
      <c r="I62" s="242"/>
      <c r="J62" s="273" t="s">
        <v>633</v>
      </c>
      <c r="K62" s="273"/>
      <c r="L62" s="274"/>
      <c r="M62" s="282" t="s">
        <v>34</v>
      </c>
      <c r="N62" s="254"/>
      <c r="O62" s="266"/>
      <c r="P62" s="266"/>
      <c r="Q62" s="267"/>
      <c r="R62" s="241"/>
      <c r="S62" s="242"/>
      <c r="T62" s="273"/>
      <c r="U62" s="274"/>
      <c r="V62" s="272"/>
      <c r="W62" s="254"/>
      <c r="X62" s="243"/>
      <c r="Y62" s="297" t="s">
        <v>307</v>
      </c>
      <c r="Z62" s="297" t="s">
        <v>302</v>
      </c>
      <c r="AA62" s="297" t="s">
        <v>328</v>
      </c>
      <c r="AB62" s="295" t="s">
        <v>464</v>
      </c>
      <c r="AC62" s="309" t="s">
        <v>292</v>
      </c>
      <c r="AD62" s="244">
        <v>60</v>
      </c>
    </row>
    <row r="63" spans="1:30" ht="73.2" customHeight="1" thickBot="1">
      <c r="A63" s="297" t="s">
        <v>322</v>
      </c>
      <c r="B63" s="295" t="s">
        <v>392</v>
      </c>
      <c r="C63" s="311" t="s">
        <v>113</v>
      </c>
      <c r="D63" s="312" t="s">
        <v>196</v>
      </c>
      <c r="E63" s="313"/>
      <c r="F63" s="240" t="s">
        <v>524</v>
      </c>
      <c r="G63" s="323">
        <v>0.41</v>
      </c>
      <c r="H63" s="241" t="s">
        <v>34</v>
      </c>
      <c r="I63" s="327"/>
      <c r="J63" s="273" t="s">
        <v>645</v>
      </c>
      <c r="K63" s="273"/>
      <c r="L63" s="345">
        <v>0.4</v>
      </c>
      <c r="M63" s="282" t="s">
        <v>34</v>
      </c>
      <c r="N63" s="254"/>
      <c r="O63" s="266"/>
      <c r="P63" s="266"/>
      <c r="Q63" s="267"/>
      <c r="R63" s="241"/>
      <c r="S63" s="242"/>
      <c r="T63" s="273"/>
      <c r="U63" s="274"/>
      <c r="V63" s="272"/>
      <c r="W63" s="254"/>
      <c r="X63" s="243"/>
      <c r="Y63" s="297" t="s">
        <v>307</v>
      </c>
      <c r="Z63" s="297" t="s">
        <v>302</v>
      </c>
      <c r="AA63" s="297" t="s">
        <v>328</v>
      </c>
      <c r="AB63" s="295" t="s">
        <v>464</v>
      </c>
      <c r="AC63" s="309" t="s">
        <v>292</v>
      </c>
      <c r="AD63" s="244">
        <v>61</v>
      </c>
    </row>
    <row r="64" spans="1:30" ht="73.2" customHeight="1" thickBot="1">
      <c r="A64" s="297" t="s">
        <v>322</v>
      </c>
      <c r="B64" s="295" t="s">
        <v>393</v>
      </c>
      <c r="C64" s="311" t="s">
        <v>197</v>
      </c>
      <c r="D64" s="312" t="s">
        <v>198</v>
      </c>
      <c r="E64" s="313"/>
      <c r="F64" s="240" t="s">
        <v>525</v>
      </c>
      <c r="G64" s="240" t="s">
        <v>526</v>
      </c>
      <c r="H64" s="241" t="s">
        <v>34</v>
      </c>
      <c r="I64" s="242"/>
      <c r="J64" s="273" t="s">
        <v>646</v>
      </c>
      <c r="K64" s="273"/>
      <c r="L64" s="274" t="s">
        <v>647</v>
      </c>
      <c r="M64" s="282" t="s">
        <v>34</v>
      </c>
      <c r="N64" s="254"/>
      <c r="O64" s="266"/>
      <c r="P64" s="266"/>
      <c r="Q64" s="267"/>
      <c r="R64" s="241"/>
      <c r="S64" s="242"/>
      <c r="T64" s="273"/>
      <c r="U64" s="274"/>
      <c r="V64" s="272"/>
      <c r="W64" s="254"/>
      <c r="X64" s="247"/>
      <c r="Y64" s="297" t="s">
        <v>307</v>
      </c>
      <c r="Z64" s="297" t="s">
        <v>302</v>
      </c>
      <c r="AA64" s="297" t="s">
        <v>328</v>
      </c>
      <c r="AB64" s="295" t="s">
        <v>464</v>
      </c>
      <c r="AC64" s="309" t="s">
        <v>292</v>
      </c>
      <c r="AD64" s="244">
        <v>62</v>
      </c>
    </row>
    <row r="65" spans="1:30" ht="73.2" customHeight="1" thickBot="1">
      <c r="A65" s="297" t="s">
        <v>322</v>
      </c>
      <c r="B65" s="295" t="s">
        <v>394</v>
      </c>
      <c r="C65" s="311" t="s">
        <v>4</v>
      </c>
      <c r="D65" s="312" t="s">
        <v>199</v>
      </c>
      <c r="E65" s="313">
        <v>44986</v>
      </c>
      <c r="F65" s="262">
        <v>0.99963000000000002</v>
      </c>
      <c r="G65" s="240"/>
      <c r="H65" s="241" t="s">
        <v>34</v>
      </c>
      <c r="I65" s="242"/>
      <c r="J65" s="278">
        <v>0.99966999999999995</v>
      </c>
      <c r="K65" s="273"/>
      <c r="L65" s="274"/>
      <c r="M65" s="282" t="s">
        <v>34</v>
      </c>
      <c r="N65" s="319"/>
      <c r="O65" s="266"/>
      <c r="P65" s="266"/>
      <c r="Q65" s="267"/>
      <c r="R65" s="241"/>
      <c r="S65" s="242"/>
      <c r="T65" s="273"/>
      <c r="U65" s="274"/>
      <c r="V65" s="272"/>
      <c r="W65" s="254"/>
      <c r="X65" s="247">
        <v>4</v>
      </c>
      <c r="Y65" s="297" t="s">
        <v>307</v>
      </c>
      <c r="Z65" s="297" t="s">
        <v>302</v>
      </c>
      <c r="AA65" s="297" t="s">
        <v>328</v>
      </c>
      <c r="AB65" s="295" t="s">
        <v>464</v>
      </c>
      <c r="AC65" s="309" t="s">
        <v>292</v>
      </c>
      <c r="AD65" s="244">
        <v>63</v>
      </c>
    </row>
    <row r="66" spans="1:30" ht="73.2" customHeight="1" thickBot="1">
      <c r="A66" s="297" t="s">
        <v>322</v>
      </c>
      <c r="B66" s="295" t="s">
        <v>395</v>
      </c>
      <c r="C66" s="311" t="s">
        <v>200</v>
      </c>
      <c r="D66" s="312" t="s">
        <v>201</v>
      </c>
      <c r="E66" s="313">
        <v>44682</v>
      </c>
      <c r="F66" s="242" t="s">
        <v>498</v>
      </c>
      <c r="G66" s="240"/>
      <c r="H66" s="241" t="s">
        <v>25</v>
      </c>
      <c r="I66" s="242"/>
      <c r="J66" s="270"/>
      <c r="K66" s="270"/>
      <c r="L66" s="271"/>
      <c r="M66" s="282" t="s">
        <v>25</v>
      </c>
      <c r="N66" s="255"/>
      <c r="O66" s="266"/>
      <c r="P66" s="266"/>
      <c r="Q66" s="267"/>
      <c r="R66" s="241"/>
      <c r="S66" s="246"/>
      <c r="T66" s="270"/>
      <c r="U66" s="271"/>
      <c r="V66" s="272"/>
      <c r="W66" s="255"/>
      <c r="X66" s="247">
        <v>1</v>
      </c>
      <c r="Y66" s="297" t="s">
        <v>307</v>
      </c>
      <c r="Z66" s="297" t="s">
        <v>302</v>
      </c>
      <c r="AA66" s="297" t="s">
        <v>328</v>
      </c>
      <c r="AB66" s="295" t="s">
        <v>464</v>
      </c>
      <c r="AC66" s="309" t="s">
        <v>292</v>
      </c>
      <c r="AD66" s="244">
        <v>64</v>
      </c>
    </row>
    <row r="67" spans="1:30" ht="73.2" customHeight="1" thickBot="1">
      <c r="A67" s="297" t="s">
        <v>322</v>
      </c>
      <c r="B67" s="295" t="s">
        <v>396</v>
      </c>
      <c r="C67" s="311" t="s">
        <v>200</v>
      </c>
      <c r="D67" s="312" t="s">
        <v>202</v>
      </c>
      <c r="E67" s="313">
        <v>44835</v>
      </c>
      <c r="F67" s="250" t="s">
        <v>523</v>
      </c>
      <c r="G67" s="240"/>
      <c r="H67" s="241" t="s">
        <v>34</v>
      </c>
      <c r="I67" s="242"/>
      <c r="J67" s="273" t="s">
        <v>644</v>
      </c>
      <c r="K67" s="273"/>
      <c r="L67" s="274"/>
      <c r="M67" s="282" t="s">
        <v>25</v>
      </c>
      <c r="N67" s="254"/>
      <c r="O67" s="245"/>
      <c r="P67" s="266"/>
      <c r="Q67" s="267"/>
      <c r="R67" s="241"/>
      <c r="S67" s="242"/>
      <c r="T67" s="273"/>
      <c r="U67" s="274"/>
      <c r="V67" s="272"/>
      <c r="W67" s="254"/>
      <c r="X67" s="247">
        <v>3</v>
      </c>
      <c r="Y67" s="297" t="s">
        <v>307</v>
      </c>
      <c r="Z67" s="297" t="s">
        <v>302</v>
      </c>
      <c r="AA67" s="297" t="s">
        <v>328</v>
      </c>
      <c r="AB67" s="295" t="s">
        <v>464</v>
      </c>
      <c r="AC67" s="309" t="s">
        <v>292</v>
      </c>
      <c r="AD67" s="244">
        <v>65</v>
      </c>
    </row>
    <row r="68" spans="1:30" ht="73.2" customHeight="1" thickBot="1">
      <c r="A68" s="297" t="s">
        <v>322</v>
      </c>
      <c r="B68" s="295" t="s">
        <v>397</v>
      </c>
      <c r="C68" s="311" t="s">
        <v>203</v>
      </c>
      <c r="D68" s="312" t="s">
        <v>204</v>
      </c>
      <c r="E68" s="313">
        <v>44927</v>
      </c>
      <c r="F68" s="250"/>
      <c r="G68" s="240"/>
      <c r="H68" s="241" t="s">
        <v>38</v>
      </c>
      <c r="I68" s="242"/>
      <c r="J68" s="270"/>
      <c r="K68" s="274"/>
      <c r="L68" s="274"/>
      <c r="M68" s="282" t="s">
        <v>34</v>
      </c>
      <c r="N68" s="254"/>
      <c r="O68" s="245"/>
      <c r="P68" s="266"/>
      <c r="Q68" s="266"/>
      <c r="R68" s="241"/>
      <c r="S68" s="242"/>
      <c r="T68" s="276"/>
      <c r="U68" s="274"/>
      <c r="V68" s="272"/>
      <c r="W68" s="254"/>
      <c r="X68" s="247">
        <v>4</v>
      </c>
      <c r="Y68" s="297" t="s">
        <v>307</v>
      </c>
      <c r="Z68" s="297" t="s">
        <v>302</v>
      </c>
      <c r="AA68" s="297" t="s">
        <v>328</v>
      </c>
      <c r="AB68" s="295" t="s">
        <v>464</v>
      </c>
      <c r="AC68" s="309" t="s">
        <v>292</v>
      </c>
      <c r="AD68" s="244">
        <v>66</v>
      </c>
    </row>
    <row r="69" spans="1:30" ht="73.2" customHeight="1" thickBot="1">
      <c r="A69" s="297" t="s">
        <v>322</v>
      </c>
      <c r="B69" s="295" t="s">
        <v>398</v>
      </c>
      <c r="C69" s="311" t="s">
        <v>203</v>
      </c>
      <c r="D69" s="312" t="s">
        <v>205</v>
      </c>
      <c r="E69" s="313">
        <v>44986</v>
      </c>
      <c r="F69" s="230" t="s">
        <v>590</v>
      </c>
      <c r="G69" s="240"/>
      <c r="H69" s="241" t="s">
        <v>34</v>
      </c>
      <c r="I69" s="242"/>
      <c r="J69" s="270"/>
      <c r="K69" s="270"/>
      <c r="L69" s="271"/>
      <c r="M69" s="282" t="s">
        <v>38</v>
      </c>
      <c r="N69" s="255"/>
      <c r="O69" s="266"/>
      <c r="P69" s="266"/>
      <c r="Q69" s="267"/>
      <c r="R69" s="241"/>
      <c r="S69" s="246"/>
      <c r="T69" s="270"/>
      <c r="U69" s="271"/>
      <c r="V69" s="272"/>
      <c r="W69" s="255"/>
      <c r="X69" s="247">
        <v>4</v>
      </c>
      <c r="Y69" s="297" t="s">
        <v>307</v>
      </c>
      <c r="Z69" s="297" t="s">
        <v>302</v>
      </c>
      <c r="AA69" s="297" t="s">
        <v>328</v>
      </c>
      <c r="AB69" s="295" t="s">
        <v>464</v>
      </c>
      <c r="AC69" s="309" t="s">
        <v>292</v>
      </c>
      <c r="AD69" s="244">
        <v>67</v>
      </c>
    </row>
    <row r="70" spans="1:30" ht="73.2" customHeight="1" thickBot="1">
      <c r="A70" s="297" t="s">
        <v>322</v>
      </c>
      <c r="B70" s="295" t="s">
        <v>399</v>
      </c>
      <c r="C70" s="311" t="s">
        <v>203</v>
      </c>
      <c r="D70" s="312" t="s">
        <v>206</v>
      </c>
      <c r="E70" s="313">
        <v>44866</v>
      </c>
      <c r="F70" s="321"/>
      <c r="G70" s="240"/>
      <c r="H70" s="241" t="s">
        <v>38</v>
      </c>
      <c r="I70" s="242"/>
      <c r="J70" s="273"/>
      <c r="K70" s="273"/>
      <c r="L70" s="274"/>
      <c r="M70" s="282" t="s">
        <v>34</v>
      </c>
      <c r="N70" s="254"/>
      <c r="O70" s="266"/>
      <c r="P70" s="266"/>
      <c r="Q70" s="267"/>
      <c r="R70" s="241"/>
      <c r="S70" s="242"/>
      <c r="T70" s="273"/>
      <c r="U70" s="274"/>
      <c r="V70" s="272"/>
      <c r="W70" s="254"/>
      <c r="X70" s="247">
        <v>3</v>
      </c>
      <c r="Y70" s="297" t="s">
        <v>307</v>
      </c>
      <c r="Z70" s="297" t="s">
        <v>302</v>
      </c>
      <c r="AA70" s="297" t="s">
        <v>328</v>
      </c>
      <c r="AB70" s="295" t="s">
        <v>464</v>
      </c>
      <c r="AC70" s="309" t="s">
        <v>292</v>
      </c>
      <c r="AD70" s="244">
        <v>68</v>
      </c>
    </row>
    <row r="71" spans="1:30" ht="73.2" customHeight="1" thickBot="1">
      <c r="A71" s="297" t="s">
        <v>323</v>
      </c>
      <c r="B71" s="295" t="s">
        <v>400</v>
      </c>
      <c r="C71" s="311" t="s">
        <v>207</v>
      </c>
      <c r="D71" s="312" t="s">
        <v>208</v>
      </c>
      <c r="E71" s="313">
        <v>44866</v>
      </c>
      <c r="F71" s="240"/>
      <c r="G71" s="240"/>
      <c r="H71" s="241" t="s">
        <v>38</v>
      </c>
      <c r="I71" s="242"/>
      <c r="J71" s="273" t="s">
        <v>656</v>
      </c>
      <c r="K71" s="273"/>
      <c r="L71" s="274"/>
      <c r="M71" s="282" t="s">
        <v>34</v>
      </c>
      <c r="N71" s="254"/>
      <c r="O71" s="266"/>
      <c r="P71" s="266"/>
      <c r="Q71" s="267"/>
      <c r="R71" s="241"/>
      <c r="S71" s="242"/>
      <c r="T71" s="273"/>
      <c r="U71" s="274"/>
      <c r="V71" s="272"/>
      <c r="W71" s="254"/>
      <c r="X71" s="247">
        <v>3</v>
      </c>
      <c r="Y71" s="297" t="s">
        <v>307</v>
      </c>
      <c r="Z71" s="297" t="s">
        <v>303</v>
      </c>
      <c r="AA71" s="297" t="s">
        <v>328</v>
      </c>
      <c r="AB71" s="295" t="s">
        <v>462</v>
      </c>
      <c r="AC71" s="309" t="s">
        <v>292</v>
      </c>
      <c r="AD71" s="244">
        <v>69</v>
      </c>
    </row>
    <row r="72" spans="1:30" ht="73.2" customHeight="1" thickBot="1">
      <c r="A72" s="297" t="s">
        <v>323</v>
      </c>
      <c r="B72" s="295" t="s">
        <v>401</v>
      </c>
      <c r="C72" s="311" t="s">
        <v>114</v>
      </c>
      <c r="D72" s="312" t="s">
        <v>209</v>
      </c>
      <c r="E72" s="313">
        <v>44958</v>
      </c>
      <c r="F72" s="328"/>
      <c r="G72" s="240"/>
      <c r="H72" s="241" t="s">
        <v>38</v>
      </c>
      <c r="I72" s="242"/>
      <c r="J72" s="273"/>
      <c r="K72" s="274"/>
      <c r="L72" s="274"/>
      <c r="M72" s="282" t="s">
        <v>38</v>
      </c>
      <c r="N72" s="254"/>
      <c r="O72" s="266"/>
      <c r="P72" s="266"/>
      <c r="Q72" s="267"/>
      <c r="R72" s="241"/>
      <c r="S72" s="242"/>
      <c r="T72" s="273"/>
      <c r="U72" s="274"/>
      <c r="V72" s="272"/>
      <c r="W72" s="254"/>
      <c r="X72" s="243">
        <v>4</v>
      </c>
      <c r="Y72" s="297" t="s">
        <v>307</v>
      </c>
      <c r="Z72" s="297" t="s">
        <v>303</v>
      </c>
      <c r="AA72" s="297" t="s">
        <v>328</v>
      </c>
      <c r="AB72" s="295" t="s">
        <v>462</v>
      </c>
      <c r="AC72" s="309" t="s">
        <v>292</v>
      </c>
      <c r="AD72" s="244">
        <v>70</v>
      </c>
    </row>
    <row r="73" spans="1:30" ht="73.2" customHeight="1" thickBot="1">
      <c r="A73" s="297" t="s">
        <v>323</v>
      </c>
      <c r="B73" s="295" t="s">
        <v>402</v>
      </c>
      <c r="C73" s="311" t="s">
        <v>9</v>
      </c>
      <c r="D73" s="312" t="s">
        <v>210</v>
      </c>
      <c r="E73" s="313">
        <v>44743</v>
      </c>
      <c r="F73" s="250" t="s">
        <v>512</v>
      </c>
      <c r="G73" s="240"/>
      <c r="H73" s="241" t="s">
        <v>34</v>
      </c>
      <c r="I73" s="242"/>
      <c r="J73" s="275" t="s">
        <v>657</v>
      </c>
      <c r="K73" s="273"/>
      <c r="L73" s="274"/>
      <c r="M73" s="282" t="s">
        <v>34</v>
      </c>
      <c r="N73" s="254"/>
      <c r="O73" s="266"/>
      <c r="P73" s="266"/>
      <c r="Q73" s="267"/>
      <c r="R73" s="241"/>
      <c r="S73" s="242"/>
      <c r="T73" s="273"/>
      <c r="U73" s="274"/>
      <c r="V73" s="272"/>
      <c r="W73" s="254"/>
      <c r="X73" s="243">
        <v>2</v>
      </c>
      <c r="Y73" s="297" t="s">
        <v>307</v>
      </c>
      <c r="Z73" s="297" t="s">
        <v>303</v>
      </c>
      <c r="AA73" s="297" t="s">
        <v>328</v>
      </c>
      <c r="AB73" s="295" t="s">
        <v>462</v>
      </c>
      <c r="AC73" s="309" t="s">
        <v>292</v>
      </c>
      <c r="AD73" s="244">
        <v>71</v>
      </c>
    </row>
    <row r="74" spans="1:30" ht="73.2" customHeight="1" thickBot="1">
      <c r="A74" s="297" t="s">
        <v>323</v>
      </c>
      <c r="B74" s="295" t="s">
        <v>403</v>
      </c>
      <c r="C74" s="311" t="s">
        <v>9</v>
      </c>
      <c r="D74" s="312" t="s">
        <v>92</v>
      </c>
      <c r="E74" s="313"/>
      <c r="F74" s="250" t="s">
        <v>513</v>
      </c>
      <c r="G74" s="329" t="s">
        <v>514</v>
      </c>
      <c r="H74" s="241" t="s">
        <v>34</v>
      </c>
      <c r="I74" s="242"/>
      <c r="J74" s="270" t="s">
        <v>660</v>
      </c>
      <c r="K74" s="270">
        <v>0.44</v>
      </c>
      <c r="L74" s="271" t="s">
        <v>514</v>
      </c>
      <c r="M74" s="282" t="s">
        <v>34</v>
      </c>
      <c r="N74" s="255"/>
      <c r="O74" s="266"/>
      <c r="P74" s="266"/>
      <c r="Q74" s="267"/>
      <c r="R74" s="241"/>
      <c r="S74" s="246"/>
      <c r="T74" s="270"/>
      <c r="U74" s="271"/>
      <c r="V74" s="272"/>
      <c r="W74" s="255"/>
      <c r="X74" s="247"/>
      <c r="Y74" s="297" t="s">
        <v>307</v>
      </c>
      <c r="Z74" s="297" t="s">
        <v>303</v>
      </c>
      <c r="AA74" s="297" t="s">
        <v>328</v>
      </c>
      <c r="AB74" s="295" t="s">
        <v>462</v>
      </c>
      <c r="AC74" s="309" t="s">
        <v>292</v>
      </c>
      <c r="AD74" s="244">
        <v>72</v>
      </c>
    </row>
    <row r="75" spans="1:30" ht="73.2" customHeight="1" thickBot="1">
      <c r="A75" s="297" t="s">
        <v>323</v>
      </c>
      <c r="B75" s="295" t="s">
        <v>404</v>
      </c>
      <c r="C75" s="311" t="s">
        <v>9</v>
      </c>
      <c r="D75" s="312" t="s">
        <v>115</v>
      </c>
      <c r="E75" s="313"/>
      <c r="F75" s="250" t="s">
        <v>516</v>
      </c>
      <c r="G75" s="329" t="s">
        <v>515</v>
      </c>
      <c r="H75" s="241" t="s">
        <v>34</v>
      </c>
      <c r="I75" s="242"/>
      <c r="J75" s="270" t="s">
        <v>661</v>
      </c>
      <c r="K75" s="270" t="s">
        <v>514</v>
      </c>
      <c r="L75" s="271" t="s">
        <v>515</v>
      </c>
      <c r="M75" s="282" t="s">
        <v>34</v>
      </c>
      <c r="N75" s="255"/>
      <c r="O75" s="266"/>
      <c r="P75" s="266"/>
      <c r="Q75" s="267"/>
      <c r="R75" s="241"/>
      <c r="S75" s="246"/>
      <c r="T75" s="270"/>
      <c r="U75" s="271"/>
      <c r="V75" s="272"/>
      <c r="W75" s="255"/>
      <c r="X75" s="247"/>
      <c r="Y75" s="297" t="s">
        <v>307</v>
      </c>
      <c r="Z75" s="297" t="s">
        <v>303</v>
      </c>
      <c r="AA75" s="297" t="s">
        <v>328</v>
      </c>
      <c r="AB75" s="295" t="s">
        <v>462</v>
      </c>
      <c r="AC75" s="309" t="s">
        <v>292</v>
      </c>
      <c r="AD75" s="244">
        <v>73</v>
      </c>
    </row>
    <row r="76" spans="1:30" ht="73.2" customHeight="1" thickBot="1">
      <c r="A76" s="297" t="s">
        <v>323</v>
      </c>
      <c r="B76" s="295" t="s">
        <v>405</v>
      </c>
      <c r="C76" s="311" t="s">
        <v>9</v>
      </c>
      <c r="D76" s="312" t="s">
        <v>211</v>
      </c>
      <c r="E76" s="313" t="s">
        <v>283</v>
      </c>
      <c r="F76" s="240"/>
      <c r="G76" s="240"/>
      <c r="H76" s="241" t="s">
        <v>38</v>
      </c>
      <c r="I76" s="242"/>
      <c r="J76" s="270" t="s">
        <v>658</v>
      </c>
      <c r="K76" s="274"/>
      <c r="L76" s="274"/>
      <c r="M76" s="282" t="s">
        <v>25</v>
      </c>
      <c r="N76" s="255" t="s">
        <v>659</v>
      </c>
      <c r="O76" s="266"/>
      <c r="P76" s="266"/>
      <c r="Q76" s="267"/>
      <c r="R76" s="241"/>
      <c r="S76" s="246"/>
      <c r="T76" s="270"/>
      <c r="U76" s="271"/>
      <c r="V76" s="272"/>
      <c r="W76" s="255"/>
      <c r="X76" s="247"/>
      <c r="Y76" s="297" t="s">
        <v>307</v>
      </c>
      <c r="Z76" s="297" t="s">
        <v>303</v>
      </c>
      <c r="AA76" s="297" t="s">
        <v>328</v>
      </c>
      <c r="AB76" s="295" t="s">
        <v>462</v>
      </c>
      <c r="AC76" s="309" t="s">
        <v>292</v>
      </c>
      <c r="AD76" s="244">
        <v>74</v>
      </c>
    </row>
    <row r="77" spans="1:30" ht="118.95" customHeight="1" thickBot="1">
      <c r="A77" s="297" t="s">
        <v>315</v>
      </c>
      <c r="B77" s="295" t="s">
        <v>406</v>
      </c>
      <c r="C77" s="311" t="s">
        <v>107</v>
      </c>
      <c r="D77" s="312" t="s">
        <v>212</v>
      </c>
      <c r="E77" s="313">
        <v>44805</v>
      </c>
      <c r="F77" s="250" t="s">
        <v>540</v>
      </c>
      <c r="G77" s="240"/>
      <c r="H77" s="241" t="s">
        <v>34</v>
      </c>
      <c r="I77" s="242"/>
      <c r="J77" s="250" t="s">
        <v>617</v>
      </c>
      <c r="K77" s="273"/>
      <c r="L77" s="274"/>
      <c r="M77" s="282" t="s">
        <v>25</v>
      </c>
      <c r="N77" s="254"/>
      <c r="O77" s="266"/>
      <c r="P77" s="266"/>
      <c r="Q77" s="267"/>
      <c r="R77" s="241"/>
      <c r="S77" s="242"/>
      <c r="T77" s="273"/>
      <c r="U77" s="274"/>
      <c r="V77" s="272"/>
      <c r="W77" s="277"/>
      <c r="X77" s="247">
        <v>2</v>
      </c>
      <c r="Y77" s="297" t="s">
        <v>329</v>
      </c>
      <c r="Z77" s="297" t="s">
        <v>295</v>
      </c>
      <c r="AA77" s="297" t="s">
        <v>328</v>
      </c>
      <c r="AB77" s="295" t="s">
        <v>463</v>
      </c>
      <c r="AC77" s="309" t="s">
        <v>290</v>
      </c>
      <c r="AD77" s="244">
        <v>75</v>
      </c>
    </row>
    <row r="78" spans="1:30" ht="88.95" customHeight="1" thickBot="1">
      <c r="A78" s="297" t="s">
        <v>324</v>
      </c>
      <c r="B78" s="295" t="s">
        <v>407</v>
      </c>
      <c r="C78" s="311" t="s">
        <v>100</v>
      </c>
      <c r="D78" s="312" t="s">
        <v>213</v>
      </c>
      <c r="E78" s="313">
        <v>44986</v>
      </c>
      <c r="F78" s="230" t="s">
        <v>566</v>
      </c>
      <c r="G78" s="240"/>
      <c r="H78" s="241" t="s">
        <v>34</v>
      </c>
      <c r="I78" s="242"/>
      <c r="J78" s="273" t="s">
        <v>692</v>
      </c>
      <c r="K78" s="273"/>
      <c r="L78" s="274"/>
      <c r="M78" s="282" t="s">
        <v>34</v>
      </c>
      <c r="N78" s="254"/>
      <c r="O78" s="266"/>
      <c r="P78" s="266"/>
      <c r="Q78" s="267"/>
      <c r="R78" s="241"/>
      <c r="S78" s="242"/>
      <c r="T78" s="273"/>
      <c r="U78" s="274"/>
      <c r="V78" s="272"/>
      <c r="W78" s="254"/>
      <c r="X78" s="247">
        <v>4</v>
      </c>
      <c r="Y78" s="297" t="s">
        <v>329</v>
      </c>
      <c r="Z78" s="297" t="s">
        <v>304</v>
      </c>
      <c r="AA78" s="297" t="s">
        <v>328</v>
      </c>
      <c r="AB78" s="295" t="s">
        <v>463</v>
      </c>
      <c r="AC78" s="309" t="s">
        <v>290</v>
      </c>
      <c r="AD78" s="244">
        <v>76</v>
      </c>
    </row>
    <row r="79" spans="1:30" ht="73.2" customHeight="1" thickBot="1">
      <c r="A79" s="297" t="s">
        <v>314</v>
      </c>
      <c r="B79" s="295" t="s">
        <v>408</v>
      </c>
      <c r="C79" s="311" t="s">
        <v>214</v>
      </c>
      <c r="D79" s="312" t="s">
        <v>215</v>
      </c>
      <c r="E79" s="313">
        <v>44927</v>
      </c>
      <c r="F79" s="240"/>
      <c r="G79" s="240"/>
      <c r="H79" s="241" t="s">
        <v>38</v>
      </c>
      <c r="I79" s="242"/>
      <c r="J79" s="273"/>
      <c r="K79" s="270"/>
      <c r="L79" s="271"/>
      <c r="M79" s="282" t="s">
        <v>38</v>
      </c>
      <c r="N79" s="255"/>
      <c r="O79" s="266"/>
      <c r="P79" s="266"/>
      <c r="Q79" s="267"/>
      <c r="R79" s="241"/>
      <c r="S79" s="246"/>
      <c r="T79" s="270"/>
      <c r="U79" s="270"/>
      <c r="V79" s="272"/>
      <c r="W79" s="255"/>
      <c r="X79" s="247">
        <v>4</v>
      </c>
      <c r="Y79" s="297" t="s">
        <v>329</v>
      </c>
      <c r="Z79" s="297" t="s">
        <v>294</v>
      </c>
      <c r="AA79" s="297" t="s">
        <v>328</v>
      </c>
      <c r="AB79" s="295" t="s">
        <v>464</v>
      </c>
      <c r="AC79" s="309" t="s">
        <v>290</v>
      </c>
      <c r="AD79" s="244">
        <v>77</v>
      </c>
    </row>
    <row r="80" spans="1:30" ht="73.2" customHeight="1" thickBot="1">
      <c r="A80" s="297" t="s">
        <v>314</v>
      </c>
      <c r="B80" s="295" t="s">
        <v>409</v>
      </c>
      <c r="C80" s="311" t="s">
        <v>93</v>
      </c>
      <c r="D80" s="312" t="s">
        <v>216</v>
      </c>
      <c r="E80" s="313">
        <v>44835</v>
      </c>
      <c r="F80" s="250" t="s">
        <v>567</v>
      </c>
      <c r="G80" s="240"/>
      <c r="H80" s="241" t="s">
        <v>38</v>
      </c>
      <c r="I80" s="242"/>
      <c r="J80" s="273" t="s">
        <v>668</v>
      </c>
      <c r="K80" s="270"/>
      <c r="L80" s="271"/>
      <c r="M80" s="282" t="s">
        <v>25</v>
      </c>
      <c r="N80" s="255"/>
      <c r="O80" s="266"/>
      <c r="P80" s="266"/>
      <c r="Q80" s="267"/>
      <c r="R80" s="241"/>
      <c r="S80" s="246"/>
      <c r="T80" s="270"/>
      <c r="U80" s="270"/>
      <c r="V80" s="272"/>
      <c r="W80" s="255"/>
      <c r="X80" s="247">
        <v>3</v>
      </c>
      <c r="Y80" s="297" t="s">
        <v>329</v>
      </c>
      <c r="Z80" s="297" t="s">
        <v>294</v>
      </c>
      <c r="AA80" s="297" t="s">
        <v>328</v>
      </c>
      <c r="AB80" s="295" t="s">
        <v>464</v>
      </c>
      <c r="AC80" s="309" t="s">
        <v>290</v>
      </c>
      <c r="AD80" s="244">
        <v>78</v>
      </c>
    </row>
    <row r="81" spans="1:30" ht="73.2" customHeight="1" thickBot="1">
      <c r="A81" s="297" t="s">
        <v>314</v>
      </c>
      <c r="B81" s="295" t="s">
        <v>410</v>
      </c>
      <c r="C81" s="311" t="s">
        <v>93</v>
      </c>
      <c r="D81" s="312" t="s">
        <v>217</v>
      </c>
      <c r="E81" s="313">
        <v>44805</v>
      </c>
      <c r="F81" s="250" t="s">
        <v>568</v>
      </c>
      <c r="G81" s="240"/>
      <c r="H81" s="241" t="s">
        <v>38</v>
      </c>
      <c r="I81" s="242"/>
      <c r="J81" s="273" t="s">
        <v>672</v>
      </c>
      <c r="K81" s="270"/>
      <c r="L81" s="271"/>
      <c r="M81" s="282" t="s">
        <v>25</v>
      </c>
      <c r="N81" s="255"/>
      <c r="O81" s="266"/>
      <c r="P81" s="266"/>
      <c r="Q81" s="267"/>
      <c r="R81" s="241"/>
      <c r="S81" s="246"/>
      <c r="T81" s="275"/>
      <c r="U81" s="270"/>
      <c r="V81" s="272"/>
      <c r="W81" s="255"/>
      <c r="X81" s="247">
        <v>2</v>
      </c>
      <c r="Y81" s="297" t="s">
        <v>329</v>
      </c>
      <c r="Z81" s="297" t="s">
        <v>294</v>
      </c>
      <c r="AA81" s="297" t="s">
        <v>328</v>
      </c>
      <c r="AB81" s="295" t="s">
        <v>464</v>
      </c>
      <c r="AC81" s="309" t="s">
        <v>290</v>
      </c>
      <c r="AD81" s="244">
        <v>79</v>
      </c>
    </row>
    <row r="82" spans="1:30" ht="73.2" customHeight="1" thickBot="1">
      <c r="A82" s="297" t="s">
        <v>314</v>
      </c>
      <c r="B82" s="295" t="s">
        <v>411</v>
      </c>
      <c r="C82" s="311" t="s">
        <v>93</v>
      </c>
      <c r="D82" s="312" t="s">
        <v>218</v>
      </c>
      <c r="E82" s="313">
        <v>44713</v>
      </c>
      <c r="F82" s="250" t="s">
        <v>571</v>
      </c>
      <c r="G82" s="240"/>
      <c r="H82" s="241" t="s">
        <v>25</v>
      </c>
      <c r="I82" s="242"/>
      <c r="J82" s="273"/>
      <c r="K82" s="273"/>
      <c r="L82" s="274"/>
      <c r="M82" s="282" t="s">
        <v>25</v>
      </c>
      <c r="N82" s="254"/>
      <c r="O82" s="266"/>
      <c r="P82" s="266"/>
      <c r="Q82" s="267"/>
      <c r="R82" s="241"/>
      <c r="S82" s="242"/>
      <c r="T82" s="273"/>
      <c r="U82" s="273"/>
      <c r="V82" s="272"/>
      <c r="W82" s="254"/>
      <c r="X82" s="247">
        <v>1</v>
      </c>
      <c r="Y82" s="297" t="s">
        <v>329</v>
      </c>
      <c r="Z82" s="297" t="s">
        <v>294</v>
      </c>
      <c r="AA82" s="297" t="s">
        <v>328</v>
      </c>
      <c r="AB82" s="295" t="s">
        <v>464</v>
      </c>
      <c r="AC82" s="309" t="s">
        <v>290</v>
      </c>
      <c r="AD82" s="244">
        <v>80</v>
      </c>
    </row>
    <row r="83" spans="1:30" ht="73.2" customHeight="1" thickBot="1">
      <c r="A83" s="297" t="s">
        <v>314</v>
      </c>
      <c r="B83" s="295" t="s">
        <v>412</v>
      </c>
      <c r="C83" s="311" t="s">
        <v>93</v>
      </c>
      <c r="D83" s="312" t="s">
        <v>219</v>
      </c>
      <c r="E83" s="313">
        <v>44743</v>
      </c>
      <c r="F83" s="250" t="s">
        <v>570</v>
      </c>
      <c r="G83" s="240"/>
      <c r="H83" s="241" t="s">
        <v>34</v>
      </c>
      <c r="I83" s="242" t="s">
        <v>572</v>
      </c>
      <c r="J83" s="273" t="s">
        <v>689</v>
      </c>
      <c r="K83" s="273"/>
      <c r="L83" s="274"/>
      <c r="M83" s="282" t="s">
        <v>25</v>
      </c>
      <c r="N83" s="254"/>
      <c r="O83" s="266"/>
      <c r="P83" s="266"/>
      <c r="Q83" s="267"/>
      <c r="R83" s="241"/>
      <c r="S83" s="242"/>
      <c r="T83" s="266"/>
      <c r="U83" s="273"/>
      <c r="V83" s="272"/>
      <c r="W83" s="254"/>
      <c r="X83" s="247">
        <v>2</v>
      </c>
      <c r="Y83" s="297" t="s">
        <v>329</v>
      </c>
      <c r="Z83" s="297" t="s">
        <v>294</v>
      </c>
      <c r="AA83" s="297" t="s">
        <v>328</v>
      </c>
      <c r="AB83" s="295" t="s">
        <v>464</v>
      </c>
      <c r="AC83" s="309" t="s">
        <v>290</v>
      </c>
      <c r="AD83" s="244">
        <v>81</v>
      </c>
    </row>
    <row r="84" spans="1:30" ht="73.2" customHeight="1" thickBot="1">
      <c r="A84" s="297" t="s">
        <v>314</v>
      </c>
      <c r="B84" s="295" t="s">
        <v>413</v>
      </c>
      <c r="C84" s="311" t="s">
        <v>93</v>
      </c>
      <c r="D84" s="312" t="s">
        <v>220</v>
      </c>
      <c r="E84" s="313">
        <v>44743</v>
      </c>
      <c r="F84" s="250" t="s">
        <v>569</v>
      </c>
      <c r="G84" s="240"/>
      <c r="H84" s="241" t="s">
        <v>34</v>
      </c>
      <c r="I84" s="242" t="s">
        <v>517</v>
      </c>
      <c r="J84" s="273" t="s">
        <v>690</v>
      </c>
      <c r="K84" s="273"/>
      <c r="L84" s="274"/>
      <c r="M84" s="282" t="s">
        <v>34</v>
      </c>
      <c r="N84" s="254"/>
      <c r="O84" s="266"/>
      <c r="P84" s="266"/>
      <c r="Q84" s="267"/>
      <c r="R84" s="241"/>
      <c r="S84" s="242"/>
      <c r="T84" s="273"/>
      <c r="U84" s="274"/>
      <c r="V84" s="272"/>
      <c r="W84" s="254"/>
      <c r="X84" s="247">
        <v>2</v>
      </c>
      <c r="Y84" s="297" t="s">
        <v>329</v>
      </c>
      <c r="Z84" s="297" t="s">
        <v>294</v>
      </c>
      <c r="AA84" s="297" t="s">
        <v>328</v>
      </c>
      <c r="AB84" s="295" t="s">
        <v>464</v>
      </c>
      <c r="AC84" s="309" t="s">
        <v>290</v>
      </c>
      <c r="AD84" s="244">
        <v>82</v>
      </c>
    </row>
    <row r="85" spans="1:30" ht="73.2" customHeight="1" thickBot="1">
      <c r="A85" s="297" t="s">
        <v>314</v>
      </c>
      <c r="B85" s="295" t="s">
        <v>414</v>
      </c>
      <c r="C85" s="311" t="s">
        <v>93</v>
      </c>
      <c r="D85" s="312" t="s">
        <v>221</v>
      </c>
      <c r="E85" s="313">
        <v>44927</v>
      </c>
      <c r="F85" s="250"/>
      <c r="G85" s="240"/>
      <c r="H85" s="241" t="s">
        <v>38</v>
      </c>
      <c r="I85" s="242"/>
      <c r="J85" s="275"/>
      <c r="K85" s="273"/>
      <c r="L85" s="274"/>
      <c r="M85" s="282" t="s">
        <v>38</v>
      </c>
      <c r="N85" s="254"/>
      <c r="O85" s="266"/>
      <c r="P85" s="266"/>
      <c r="Q85" s="267"/>
      <c r="R85" s="241"/>
      <c r="S85" s="242"/>
      <c r="T85" s="266"/>
      <c r="U85" s="274"/>
      <c r="V85" s="272"/>
      <c r="W85" s="254"/>
      <c r="X85" s="243">
        <v>4</v>
      </c>
      <c r="Y85" s="297" t="s">
        <v>329</v>
      </c>
      <c r="Z85" s="297" t="s">
        <v>294</v>
      </c>
      <c r="AA85" s="297" t="s">
        <v>328</v>
      </c>
      <c r="AB85" s="295" t="s">
        <v>464</v>
      </c>
      <c r="AC85" s="309" t="s">
        <v>290</v>
      </c>
      <c r="AD85" s="244">
        <v>83</v>
      </c>
    </row>
    <row r="86" spans="1:30" ht="73.2" customHeight="1" thickBot="1">
      <c r="A86" s="297" t="s">
        <v>317</v>
      </c>
      <c r="B86" s="295" t="s">
        <v>415</v>
      </c>
      <c r="C86" s="311" t="s">
        <v>222</v>
      </c>
      <c r="D86" s="312" t="s">
        <v>223</v>
      </c>
      <c r="E86" s="313">
        <v>44986</v>
      </c>
      <c r="F86" s="242" t="s">
        <v>495</v>
      </c>
      <c r="G86" s="240"/>
      <c r="H86" s="241" t="s">
        <v>34</v>
      </c>
      <c r="I86" s="242"/>
      <c r="J86" s="273" t="s">
        <v>627</v>
      </c>
      <c r="K86" s="273"/>
      <c r="L86" s="274"/>
      <c r="M86" s="282" t="s">
        <v>25</v>
      </c>
      <c r="N86" s="254" t="s">
        <v>632</v>
      </c>
      <c r="O86" s="266"/>
      <c r="P86" s="266"/>
      <c r="Q86" s="267"/>
      <c r="R86" s="241"/>
      <c r="S86" s="242"/>
      <c r="T86" s="314"/>
      <c r="U86" s="274"/>
      <c r="V86" s="272"/>
      <c r="W86" s="254"/>
      <c r="X86" s="243">
        <v>4</v>
      </c>
      <c r="Y86" s="297" t="s">
        <v>307</v>
      </c>
      <c r="Z86" s="297" t="s">
        <v>305</v>
      </c>
      <c r="AA86" s="297" t="s">
        <v>328</v>
      </c>
      <c r="AB86" s="295" t="s">
        <v>465</v>
      </c>
      <c r="AC86" s="309" t="s">
        <v>291</v>
      </c>
      <c r="AD86" s="244">
        <v>84</v>
      </c>
    </row>
    <row r="87" spans="1:30" ht="73.2" customHeight="1" thickBot="1">
      <c r="A87" s="297" t="s">
        <v>317</v>
      </c>
      <c r="B87" s="295" t="s">
        <v>416</v>
      </c>
      <c r="C87" s="311" t="s">
        <v>222</v>
      </c>
      <c r="D87" s="312" t="s">
        <v>224</v>
      </c>
      <c r="E87" s="313">
        <v>44835</v>
      </c>
      <c r="F87" s="230" t="s">
        <v>496</v>
      </c>
      <c r="G87" s="240"/>
      <c r="H87" s="241" t="s">
        <v>34</v>
      </c>
      <c r="I87" s="242"/>
      <c r="J87" s="273" t="s">
        <v>628</v>
      </c>
      <c r="K87" s="285"/>
      <c r="L87" s="274"/>
      <c r="M87" s="282" t="s">
        <v>34</v>
      </c>
      <c r="N87" s="254"/>
      <c r="O87" s="266"/>
      <c r="P87" s="266"/>
      <c r="Q87" s="267"/>
      <c r="R87" s="241"/>
      <c r="S87" s="242"/>
      <c r="T87" s="273"/>
      <c r="U87" s="284"/>
      <c r="V87" s="272"/>
      <c r="W87" s="254"/>
      <c r="X87" s="243">
        <v>3</v>
      </c>
      <c r="Y87" s="297" t="s">
        <v>307</v>
      </c>
      <c r="Z87" s="297" t="s">
        <v>305</v>
      </c>
      <c r="AA87" s="297" t="s">
        <v>328</v>
      </c>
      <c r="AB87" s="295" t="s">
        <v>465</v>
      </c>
      <c r="AC87" s="309" t="s">
        <v>291</v>
      </c>
      <c r="AD87" s="244">
        <v>85</v>
      </c>
    </row>
    <row r="88" spans="1:30" ht="73.2" customHeight="1" thickBot="1">
      <c r="A88" s="297" t="s">
        <v>317</v>
      </c>
      <c r="B88" s="295" t="s">
        <v>417</v>
      </c>
      <c r="C88" s="311" t="s">
        <v>222</v>
      </c>
      <c r="D88" s="312" t="s">
        <v>225</v>
      </c>
      <c r="E88" s="313" t="s">
        <v>284</v>
      </c>
      <c r="F88" s="230" t="s">
        <v>497</v>
      </c>
      <c r="G88" s="240"/>
      <c r="H88" s="241" t="s">
        <v>34</v>
      </c>
      <c r="I88" s="242"/>
      <c r="J88" s="273" t="s">
        <v>629</v>
      </c>
      <c r="K88" s="285"/>
      <c r="L88" s="274"/>
      <c r="M88" s="282" t="s">
        <v>34</v>
      </c>
      <c r="N88" s="254"/>
      <c r="O88" s="266"/>
      <c r="P88" s="266"/>
      <c r="Q88" s="267"/>
      <c r="R88" s="241"/>
      <c r="S88" s="242"/>
      <c r="T88" s="274"/>
      <c r="U88" s="284"/>
      <c r="V88" s="272"/>
      <c r="W88" s="254"/>
      <c r="X88" s="243">
        <v>4</v>
      </c>
      <c r="Y88" s="297" t="s">
        <v>307</v>
      </c>
      <c r="Z88" s="297" t="s">
        <v>305</v>
      </c>
      <c r="AA88" s="297" t="s">
        <v>328</v>
      </c>
      <c r="AB88" s="295" t="s">
        <v>465</v>
      </c>
      <c r="AC88" s="309" t="s">
        <v>291</v>
      </c>
      <c r="AD88" s="244">
        <v>86</v>
      </c>
    </row>
    <row r="89" spans="1:30" ht="73.2" customHeight="1" thickBot="1">
      <c r="A89" s="297" t="s">
        <v>317</v>
      </c>
      <c r="B89" s="295" t="s">
        <v>418</v>
      </c>
      <c r="C89" s="311" t="s">
        <v>222</v>
      </c>
      <c r="D89" s="312" t="s">
        <v>226</v>
      </c>
      <c r="E89" s="313">
        <v>44743</v>
      </c>
      <c r="F89" s="230" t="s">
        <v>583</v>
      </c>
      <c r="G89" s="240"/>
      <c r="H89" s="241" t="s">
        <v>25</v>
      </c>
      <c r="I89" s="242"/>
      <c r="J89" s="270" t="s">
        <v>631</v>
      </c>
      <c r="K89" s="345"/>
      <c r="L89" s="274"/>
      <c r="M89" s="282" t="s">
        <v>25</v>
      </c>
      <c r="N89" s="255"/>
      <c r="O89" s="266"/>
      <c r="P89" s="266"/>
      <c r="Q89" s="267"/>
      <c r="R89" s="241"/>
      <c r="S89" s="246"/>
      <c r="T89" s="270"/>
      <c r="U89" s="320"/>
      <c r="V89" s="272"/>
      <c r="W89" s="255"/>
      <c r="X89" s="247">
        <v>2</v>
      </c>
      <c r="Y89" s="297" t="s">
        <v>307</v>
      </c>
      <c r="Z89" s="297" t="s">
        <v>305</v>
      </c>
      <c r="AA89" s="297" t="s">
        <v>328</v>
      </c>
      <c r="AB89" s="295" t="s">
        <v>465</v>
      </c>
      <c r="AC89" s="309" t="s">
        <v>291</v>
      </c>
      <c r="AD89" s="244">
        <v>87</v>
      </c>
    </row>
    <row r="90" spans="1:30" ht="73.2" customHeight="1" thickBot="1">
      <c r="A90" s="297" t="s">
        <v>317</v>
      </c>
      <c r="B90" s="295" t="s">
        <v>419</v>
      </c>
      <c r="C90" s="311" t="s">
        <v>227</v>
      </c>
      <c r="D90" s="312" t="s">
        <v>228</v>
      </c>
      <c r="E90" s="313">
        <v>44835</v>
      </c>
      <c r="F90" s="230" t="s">
        <v>591</v>
      </c>
      <c r="G90" s="240"/>
      <c r="H90" s="241" t="s">
        <v>34</v>
      </c>
      <c r="I90" s="242"/>
      <c r="J90" s="270" t="s">
        <v>630</v>
      </c>
      <c r="K90" s="270"/>
      <c r="L90" s="271"/>
      <c r="M90" s="282" t="s">
        <v>34</v>
      </c>
      <c r="N90" s="255"/>
      <c r="O90" s="266"/>
      <c r="P90" s="266"/>
      <c r="Q90" s="267"/>
      <c r="R90" s="241"/>
      <c r="S90" s="246"/>
      <c r="T90" s="270"/>
      <c r="U90" s="271"/>
      <c r="V90" s="272"/>
      <c r="W90" s="255"/>
      <c r="X90" s="247">
        <v>3</v>
      </c>
      <c r="Y90" s="297" t="s">
        <v>307</v>
      </c>
      <c r="Z90" s="297" t="s">
        <v>305</v>
      </c>
      <c r="AA90" s="297" t="s">
        <v>328</v>
      </c>
      <c r="AB90" s="295" t="s">
        <v>465</v>
      </c>
      <c r="AC90" s="309" t="s">
        <v>291</v>
      </c>
      <c r="AD90" s="244">
        <v>88</v>
      </c>
    </row>
    <row r="91" spans="1:30" ht="73.2" customHeight="1" thickBot="1">
      <c r="A91" s="297" t="s">
        <v>600</v>
      </c>
      <c r="B91" s="295" t="s">
        <v>420</v>
      </c>
      <c r="C91" s="311" t="s">
        <v>3</v>
      </c>
      <c r="D91" s="312" t="s">
        <v>593</v>
      </c>
      <c r="E91" s="313"/>
      <c r="F91" s="240" t="s">
        <v>594</v>
      </c>
      <c r="G91" s="240"/>
      <c r="H91" s="241" t="s">
        <v>34</v>
      </c>
      <c r="I91" s="242" t="s">
        <v>595</v>
      </c>
      <c r="J91" s="274" t="s">
        <v>702</v>
      </c>
      <c r="K91" s="273" t="s">
        <v>703</v>
      </c>
      <c r="L91" s="274"/>
      <c r="M91" s="282" t="s">
        <v>35</v>
      </c>
      <c r="N91" s="255"/>
      <c r="O91" s="266"/>
      <c r="P91" s="266"/>
      <c r="Q91" s="267"/>
      <c r="R91" s="241"/>
      <c r="S91" s="242"/>
      <c r="T91" s="273"/>
      <c r="U91" s="274"/>
      <c r="V91" s="272"/>
      <c r="W91" s="254"/>
      <c r="X91" s="243"/>
      <c r="Y91" s="297" t="s">
        <v>330</v>
      </c>
      <c r="Z91" s="297" t="s">
        <v>306</v>
      </c>
      <c r="AA91" s="297" t="s">
        <v>13</v>
      </c>
      <c r="AB91" s="295" t="s">
        <v>465</v>
      </c>
      <c r="AC91" s="309" t="s">
        <v>44</v>
      </c>
      <c r="AD91" s="244">
        <v>89</v>
      </c>
    </row>
    <row r="92" spans="1:30" ht="73.2" customHeight="1" thickBot="1">
      <c r="A92" s="297" t="s">
        <v>600</v>
      </c>
      <c r="B92" s="295" t="s">
        <v>421</v>
      </c>
      <c r="C92" s="311" t="s">
        <v>229</v>
      </c>
      <c r="D92" s="312" t="s">
        <v>230</v>
      </c>
      <c r="E92" s="313"/>
      <c r="F92" s="240" t="s">
        <v>535</v>
      </c>
      <c r="G92" s="240"/>
      <c r="H92" s="241" t="s">
        <v>34</v>
      </c>
      <c r="I92" s="242"/>
      <c r="J92" s="254" t="s">
        <v>694</v>
      </c>
      <c r="K92" s="273"/>
      <c r="L92" s="274"/>
      <c r="M92" s="282" t="s">
        <v>35</v>
      </c>
      <c r="N92" s="254" t="s">
        <v>694</v>
      </c>
      <c r="O92" s="266"/>
      <c r="P92" s="266"/>
      <c r="Q92" s="267"/>
      <c r="R92" s="241"/>
      <c r="S92" s="242"/>
      <c r="T92" s="274"/>
      <c r="U92" s="274"/>
      <c r="V92" s="272"/>
      <c r="W92" s="254"/>
      <c r="X92" s="247"/>
      <c r="Y92" s="297" t="s">
        <v>330</v>
      </c>
      <c r="Z92" s="297" t="s">
        <v>306</v>
      </c>
      <c r="AA92" s="297" t="s">
        <v>13</v>
      </c>
      <c r="AB92" s="295" t="s">
        <v>465</v>
      </c>
      <c r="AC92" s="309" t="s">
        <v>44</v>
      </c>
      <c r="AD92" s="244">
        <v>90</v>
      </c>
    </row>
    <row r="93" spans="1:30" ht="103.2" customHeight="1" thickBot="1">
      <c r="A93" s="297" t="s">
        <v>600</v>
      </c>
      <c r="B93" s="295" t="s">
        <v>422</v>
      </c>
      <c r="C93" s="311" t="s">
        <v>231</v>
      </c>
      <c r="D93" s="312" t="s">
        <v>232</v>
      </c>
      <c r="E93" s="313" t="s">
        <v>285</v>
      </c>
      <c r="F93" s="240" t="s">
        <v>534</v>
      </c>
      <c r="G93" s="240"/>
      <c r="H93" s="241" t="s">
        <v>34</v>
      </c>
      <c r="I93" s="242"/>
      <c r="J93" s="273" t="s">
        <v>655</v>
      </c>
      <c r="K93" s="273"/>
      <c r="L93" s="274"/>
      <c r="M93" s="282" t="s">
        <v>654</v>
      </c>
      <c r="N93" s="254"/>
      <c r="O93" s="266"/>
      <c r="P93" s="266"/>
      <c r="Q93" s="267"/>
      <c r="R93" s="241"/>
      <c r="S93" s="242"/>
      <c r="T93" s="273"/>
      <c r="U93" s="274"/>
      <c r="V93" s="272"/>
      <c r="W93" s="254"/>
      <c r="X93" s="243"/>
      <c r="Y93" s="297" t="s">
        <v>330</v>
      </c>
      <c r="Z93" s="297" t="s">
        <v>306</v>
      </c>
      <c r="AA93" s="297" t="s">
        <v>13</v>
      </c>
      <c r="AB93" s="295" t="s">
        <v>461</v>
      </c>
      <c r="AC93" s="309" t="s">
        <v>44</v>
      </c>
      <c r="AD93" s="244">
        <v>91</v>
      </c>
    </row>
    <row r="94" spans="1:30" ht="73.2" customHeight="1" thickBot="1">
      <c r="A94" s="297" t="s">
        <v>307</v>
      </c>
      <c r="B94" s="295" t="s">
        <v>423</v>
      </c>
      <c r="C94" s="311" t="s">
        <v>233</v>
      </c>
      <c r="D94" s="312" t="s">
        <v>234</v>
      </c>
      <c r="E94" s="313">
        <v>44986</v>
      </c>
      <c r="F94" s="240"/>
      <c r="G94" s="240"/>
      <c r="H94" s="241" t="s">
        <v>38</v>
      </c>
      <c r="I94" s="242"/>
      <c r="J94" s="273"/>
      <c r="K94" s="273"/>
      <c r="L94" s="274"/>
      <c r="M94" s="282" t="s">
        <v>38</v>
      </c>
      <c r="N94" s="254"/>
      <c r="O94" s="266"/>
      <c r="P94" s="266"/>
      <c r="Q94" s="267"/>
      <c r="R94" s="241"/>
      <c r="S94" s="242"/>
      <c r="T94" s="273"/>
      <c r="U94" s="274"/>
      <c r="V94" s="272"/>
      <c r="W94" s="254"/>
      <c r="X94" s="243">
        <v>4</v>
      </c>
      <c r="Y94" s="297" t="s">
        <v>307</v>
      </c>
      <c r="Z94" s="297" t="s">
        <v>307</v>
      </c>
      <c r="AA94" s="297" t="s">
        <v>13</v>
      </c>
      <c r="AB94" s="295" t="s">
        <v>465</v>
      </c>
      <c r="AC94" s="309" t="s">
        <v>44</v>
      </c>
      <c r="AD94" s="244">
        <v>92</v>
      </c>
    </row>
    <row r="95" spans="1:30" ht="73.2" customHeight="1" thickBot="1">
      <c r="A95" s="297" t="s">
        <v>325</v>
      </c>
      <c r="B95" s="295" t="s">
        <v>424</v>
      </c>
      <c r="C95" s="311" t="s">
        <v>233</v>
      </c>
      <c r="D95" s="312" t="s">
        <v>235</v>
      </c>
      <c r="E95" s="313" t="s">
        <v>286</v>
      </c>
      <c r="F95" s="240" t="s">
        <v>573</v>
      </c>
      <c r="G95" s="240"/>
      <c r="H95" s="241" t="s">
        <v>38</v>
      </c>
      <c r="I95" s="242"/>
      <c r="J95" s="315" t="s">
        <v>698</v>
      </c>
      <c r="K95" s="273"/>
      <c r="L95" s="274"/>
      <c r="M95" s="282" t="s">
        <v>38</v>
      </c>
      <c r="N95" s="254" t="s">
        <v>701</v>
      </c>
      <c r="O95" s="266"/>
      <c r="P95" s="266"/>
      <c r="Q95" s="267"/>
      <c r="R95" s="241"/>
      <c r="S95" s="242"/>
      <c r="T95" s="273"/>
      <c r="U95" s="274"/>
      <c r="V95" s="272"/>
      <c r="W95" s="273"/>
      <c r="X95" s="243"/>
      <c r="Y95" s="297" t="s">
        <v>330</v>
      </c>
      <c r="Z95" s="297" t="s">
        <v>308</v>
      </c>
      <c r="AA95" s="297" t="s">
        <v>13</v>
      </c>
      <c r="AB95" s="295" t="s">
        <v>465</v>
      </c>
      <c r="AC95" s="309" t="s">
        <v>44</v>
      </c>
      <c r="AD95" s="244">
        <v>93</v>
      </c>
    </row>
    <row r="96" spans="1:30" ht="73.2" customHeight="1" thickBot="1">
      <c r="A96" s="297" t="s">
        <v>307</v>
      </c>
      <c r="B96" s="295" t="s">
        <v>425</v>
      </c>
      <c r="C96" s="311" t="s">
        <v>236</v>
      </c>
      <c r="D96" s="312" t="s">
        <v>237</v>
      </c>
      <c r="E96" s="313">
        <v>44835</v>
      </c>
      <c r="F96" s="321"/>
      <c r="G96" s="240"/>
      <c r="H96" s="241" t="s">
        <v>38</v>
      </c>
      <c r="I96" s="242"/>
      <c r="J96" s="317" t="s">
        <v>696</v>
      </c>
      <c r="K96" s="273"/>
      <c r="L96" s="274"/>
      <c r="M96" s="282" t="s">
        <v>34</v>
      </c>
      <c r="N96" s="254"/>
      <c r="O96" s="266"/>
      <c r="P96" s="266"/>
      <c r="Q96" s="267"/>
      <c r="R96" s="241"/>
      <c r="S96" s="242"/>
      <c r="T96" s="273"/>
      <c r="U96" s="274"/>
      <c r="V96" s="272"/>
      <c r="W96" s="254"/>
      <c r="X96" s="243">
        <v>3</v>
      </c>
      <c r="Y96" s="297" t="s">
        <v>307</v>
      </c>
      <c r="Z96" s="297" t="s">
        <v>307</v>
      </c>
      <c r="AA96" s="297" t="s">
        <v>13</v>
      </c>
      <c r="AB96" s="295" t="s">
        <v>465</v>
      </c>
      <c r="AC96" s="309" t="s">
        <v>44</v>
      </c>
      <c r="AD96" s="244">
        <v>94</v>
      </c>
    </row>
    <row r="97" spans="1:30" ht="73.2" customHeight="1" thickBot="1">
      <c r="A97" s="297" t="s">
        <v>325</v>
      </c>
      <c r="B97" s="295" t="s">
        <v>426</v>
      </c>
      <c r="C97" s="311" t="s">
        <v>238</v>
      </c>
      <c r="D97" s="312" t="s">
        <v>239</v>
      </c>
      <c r="E97" s="313">
        <v>44927</v>
      </c>
      <c r="F97" s="240" t="s">
        <v>528</v>
      </c>
      <c r="G97" s="240"/>
      <c r="H97" s="241" t="s">
        <v>34</v>
      </c>
      <c r="I97" s="242"/>
      <c r="J97" s="273" t="s">
        <v>695</v>
      </c>
      <c r="K97" s="273"/>
      <c r="L97" s="274"/>
      <c r="M97" s="282" t="s">
        <v>34</v>
      </c>
      <c r="N97" s="254"/>
      <c r="O97" s="266"/>
      <c r="P97" s="266"/>
      <c r="Q97" s="267"/>
      <c r="R97" s="241"/>
      <c r="S97" s="242"/>
      <c r="T97" s="273"/>
      <c r="U97" s="274"/>
      <c r="V97" s="272"/>
      <c r="W97" s="254"/>
      <c r="X97" s="243">
        <v>4</v>
      </c>
      <c r="Y97" s="297" t="s">
        <v>330</v>
      </c>
      <c r="Z97" s="297" t="s">
        <v>309</v>
      </c>
      <c r="AA97" s="297" t="s">
        <v>13</v>
      </c>
      <c r="AB97" s="295" t="s">
        <v>465</v>
      </c>
      <c r="AC97" s="309" t="s">
        <v>44</v>
      </c>
      <c r="AD97" s="244">
        <v>95</v>
      </c>
    </row>
    <row r="98" spans="1:30" ht="73.2" customHeight="1" thickBot="1">
      <c r="A98" s="297" t="s">
        <v>313</v>
      </c>
      <c r="B98" s="295" t="s">
        <v>427</v>
      </c>
      <c r="C98" s="311" t="s">
        <v>240</v>
      </c>
      <c r="D98" s="312" t="s">
        <v>241</v>
      </c>
      <c r="E98" s="313">
        <v>44896</v>
      </c>
      <c r="F98" s="240" t="s">
        <v>538</v>
      </c>
      <c r="G98" s="240"/>
      <c r="H98" s="241" t="s">
        <v>34</v>
      </c>
      <c r="I98" s="242"/>
      <c r="J98" s="336" t="s">
        <v>700</v>
      </c>
      <c r="K98" s="274"/>
      <c r="L98" s="274"/>
      <c r="M98" s="282" t="s">
        <v>35</v>
      </c>
      <c r="N98" s="254"/>
      <c r="O98" s="266"/>
      <c r="P98" s="266"/>
      <c r="Q98" s="267"/>
      <c r="R98" s="241"/>
      <c r="S98" s="242"/>
      <c r="T98" s="270"/>
      <c r="U98" s="276"/>
      <c r="V98" s="272"/>
      <c r="W98" s="254"/>
      <c r="X98" s="247">
        <v>3</v>
      </c>
      <c r="Y98" s="297" t="s">
        <v>307</v>
      </c>
      <c r="Z98" s="297" t="s">
        <v>293</v>
      </c>
      <c r="AA98" s="297" t="s">
        <v>13</v>
      </c>
      <c r="AB98" s="295" t="s">
        <v>461</v>
      </c>
      <c r="AC98" s="309" t="s">
        <v>118</v>
      </c>
      <c r="AD98" s="244">
        <v>96</v>
      </c>
    </row>
    <row r="99" spans="1:30" ht="73.2" customHeight="1" thickBot="1">
      <c r="A99" s="297" t="s">
        <v>313</v>
      </c>
      <c r="B99" s="295" t="s">
        <v>428</v>
      </c>
      <c r="C99" s="311" t="s">
        <v>240</v>
      </c>
      <c r="D99" s="312" t="s">
        <v>242</v>
      </c>
      <c r="E99" s="313">
        <v>44713</v>
      </c>
      <c r="F99" s="250" t="s">
        <v>574</v>
      </c>
      <c r="G99" s="240"/>
      <c r="H99" s="241" t="s">
        <v>25</v>
      </c>
      <c r="I99" s="242"/>
      <c r="J99" s="273"/>
      <c r="K99" s="273"/>
      <c r="L99" s="274"/>
      <c r="M99" s="282" t="s">
        <v>25</v>
      </c>
      <c r="N99" s="254"/>
      <c r="O99" s="266"/>
      <c r="P99" s="266"/>
      <c r="Q99" s="267"/>
      <c r="R99" s="241"/>
      <c r="S99" s="242"/>
      <c r="T99" s="273"/>
      <c r="U99" s="274"/>
      <c r="V99" s="272"/>
      <c r="W99" s="254"/>
      <c r="X99" s="243">
        <v>1</v>
      </c>
      <c r="Y99" s="297" t="s">
        <v>307</v>
      </c>
      <c r="Z99" s="297" t="s">
        <v>293</v>
      </c>
      <c r="AA99" s="297" t="s">
        <v>13</v>
      </c>
      <c r="AB99" s="295" t="s">
        <v>461</v>
      </c>
      <c r="AC99" s="309" t="s">
        <v>118</v>
      </c>
      <c r="AD99" s="244">
        <v>97</v>
      </c>
    </row>
    <row r="100" spans="1:30" ht="73.2" customHeight="1" thickBot="1">
      <c r="A100" s="297" t="s">
        <v>313</v>
      </c>
      <c r="B100" s="295" t="s">
        <v>429</v>
      </c>
      <c r="C100" s="311" t="s">
        <v>240</v>
      </c>
      <c r="D100" s="312" t="s">
        <v>243</v>
      </c>
      <c r="E100" s="313">
        <v>44713</v>
      </c>
      <c r="F100" s="240" t="s">
        <v>575</v>
      </c>
      <c r="G100" s="240"/>
      <c r="H100" s="241" t="s">
        <v>25</v>
      </c>
      <c r="I100" s="242" t="s">
        <v>576</v>
      </c>
      <c r="J100" s="273"/>
      <c r="K100" s="273"/>
      <c r="L100" s="274"/>
      <c r="M100" s="282" t="s">
        <v>25</v>
      </c>
      <c r="N100" s="254"/>
      <c r="O100" s="266"/>
      <c r="P100" s="266"/>
      <c r="Q100" s="267"/>
      <c r="R100" s="241"/>
      <c r="S100" s="242"/>
      <c r="T100" s="273"/>
      <c r="U100" s="274"/>
      <c r="V100" s="272"/>
      <c r="W100" s="254"/>
      <c r="X100" s="243">
        <v>1</v>
      </c>
      <c r="Y100" s="297" t="s">
        <v>307</v>
      </c>
      <c r="Z100" s="297" t="s">
        <v>293</v>
      </c>
      <c r="AA100" s="297" t="s">
        <v>13</v>
      </c>
      <c r="AB100" s="295" t="s">
        <v>461</v>
      </c>
      <c r="AC100" s="309" t="s">
        <v>118</v>
      </c>
      <c r="AD100" s="244">
        <v>98</v>
      </c>
    </row>
    <row r="101" spans="1:30" ht="73.2" customHeight="1" thickBot="1">
      <c r="A101" s="297" t="s">
        <v>313</v>
      </c>
      <c r="B101" s="295" t="s">
        <v>430</v>
      </c>
      <c r="C101" s="311" t="s">
        <v>240</v>
      </c>
      <c r="D101" s="312" t="s">
        <v>244</v>
      </c>
      <c r="E101" s="313">
        <v>44774</v>
      </c>
      <c r="F101" s="240"/>
      <c r="G101" s="240"/>
      <c r="H101" s="241" t="s">
        <v>38</v>
      </c>
      <c r="I101" s="242"/>
      <c r="J101" s="273" t="s">
        <v>609</v>
      </c>
      <c r="K101" s="273"/>
      <c r="L101" s="274"/>
      <c r="M101" s="282" t="s">
        <v>25</v>
      </c>
      <c r="N101" s="254"/>
      <c r="O101" s="266"/>
      <c r="P101" s="266"/>
      <c r="Q101" s="267"/>
      <c r="R101" s="241"/>
      <c r="S101" s="242"/>
      <c r="T101" s="273"/>
      <c r="U101" s="274"/>
      <c r="V101" s="272"/>
      <c r="W101" s="254"/>
      <c r="X101" s="247">
        <v>2</v>
      </c>
      <c r="Y101" s="297" t="s">
        <v>307</v>
      </c>
      <c r="Z101" s="297" t="s">
        <v>293</v>
      </c>
      <c r="AA101" s="297" t="s">
        <v>13</v>
      </c>
      <c r="AB101" s="295" t="s">
        <v>461</v>
      </c>
      <c r="AC101" s="309" t="s">
        <v>118</v>
      </c>
      <c r="AD101" s="244">
        <v>99</v>
      </c>
    </row>
    <row r="102" spans="1:30" ht="73.2" customHeight="1" thickBot="1">
      <c r="A102" s="297" t="s">
        <v>313</v>
      </c>
      <c r="B102" s="295" t="s">
        <v>431</v>
      </c>
      <c r="C102" s="311" t="s">
        <v>240</v>
      </c>
      <c r="D102" s="312" t="s">
        <v>245</v>
      </c>
      <c r="E102" s="313">
        <v>44896</v>
      </c>
      <c r="F102" s="250"/>
      <c r="G102" s="240"/>
      <c r="H102" s="241" t="s">
        <v>38</v>
      </c>
      <c r="I102" s="242"/>
      <c r="J102" s="273" t="s">
        <v>608</v>
      </c>
      <c r="K102" s="273"/>
      <c r="L102" s="274"/>
      <c r="M102" s="282" t="s">
        <v>38</v>
      </c>
      <c r="N102" s="254"/>
      <c r="O102" s="266"/>
      <c r="P102" s="266"/>
      <c r="Q102" s="267"/>
      <c r="R102" s="241"/>
      <c r="S102" s="242"/>
      <c r="T102" s="273"/>
      <c r="U102" s="274"/>
      <c r="V102" s="272"/>
      <c r="W102" s="254"/>
      <c r="X102" s="243">
        <v>3</v>
      </c>
      <c r="Y102" s="297" t="s">
        <v>307</v>
      </c>
      <c r="Z102" s="297" t="s">
        <v>293</v>
      </c>
      <c r="AA102" s="297" t="s">
        <v>13</v>
      </c>
      <c r="AB102" s="295" t="s">
        <v>461</v>
      </c>
      <c r="AC102" s="309" t="s">
        <v>118</v>
      </c>
      <c r="AD102" s="244">
        <v>100</v>
      </c>
    </row>
    <row r="103" spans="1:30" ht="73.2" customHeight="1" thickBot="1">
      <c r="A103" s="297" t="s">
        <v>326</v>
      </c>
      <c r="B103" s="295" t="s">
        <v>432</v>
      </c>
      <c r="C103" s="311" t="s">
        <v>104</v>
      </c>
      <c r="D103" s="312" t="s">
        <v>246</v>
      </c>
      <c r="E103" s="313">
        <v>44958</v>
      </c>
      <c r="F103" s="240" t="s">
        <v>501</v>
      </c>
      <c r="G103" s="240"/>
      <c r="H103" s="241" t="s">
        <v>38</v>
      </c>
      <c r="I103" s="242"/>
      <c r="J103" s="273" t="s">
        <v>601</v>
      </c>
      <c r="K103" s="273"/>
      <c r="L103" s="274"/>
      <c r="M103" s="282" t="s">
        <v>34</v>
      </c>
      <c r="N103" s="254"/>
      <c r="O103" s="266"/>
      <c r="P103" s="266"/>
      <c r="Q103" s="267"/>
      <c r="R103" s="241"/>
      <c r="S103" s="242"/>
      <c r="T103" s="273"/>
      <c r="U103" s="274"/>
      <c r="V103" s="272"/>
      <c r="W103" s="254"/>
      <c r="X103" s="247">
        <v>4</v>
      </c>
      <c r="Y103" s="297" t="s">
        <v>307</v>
      </c>
      <c r="Z103" s="297" t="s">
        <v>310</v>
      </c>
      <c r="AA103" s="297" t="s">
        <v>13</v>
      </c>
      <c r="AB103" s="295" t="s">
        <v>461</v>
      </c>
      <c r="AC103" s="309" t="s">
        <v>118</v>
      </c>
      <c r="AD103" s="244">
        <v>101</v>
      </c>
    </row>
    <row r="104" spans="1:30" ht="73.2" customHeight="1" thickBot="1">
      <c r="A104" s="297" t="s">
        <v>326</v>
      </c>
      <c r="B104" s="295" t="s">
        <v>433</v>
      </c>
      <c r="C104" s="311" t="s">
        <v>2</v>
      </c>
      <c r="D104" s="312" t="s">
        <v>96</v>
      </c>
      <c r="E104" s="313" t="s">
        <v>287</v>
      </c>
      <c r="F104" s="240" t="s">
        <v>500</v>
      </c>
      <c r="G104" s="240"/>
      <c r="H104" s="241" t="s">
        <v>34</v>
      </c>
      <c r="I104" s="242"/>
      <c r="J104" s="273" t="s">
        <v>602</v>
      </c>
      <c r="K104" s="273"/>
      <c r="L104" s="274"/>
      <c r="M104" s="282" t="s">
        <v>34</v>
      </c>
      <c r="N104" s="254"/>
      <c r="O104" s="266"/>
      <c r="P104" s="266"/>
      <c r="Q104" s="267"/>
      <c r="R104" s="241"/>
      <c r="S104" s="242"/>
      <c r="T104" s="273"/>
      <c r="U104" s="274"/>
      <c r="V104" s="272"/>
      <c r="W104" s="254"/>
      <c r="X104" s="247"/>
      <c r="Y104" s="297" t="s">
        <v>307</v>
      </c>
      <c r="Z104" s="297" t="s">
        <v>310</v>
      </c>
      <c r="AA104" s="297" t="s">
        <v>13</v>
      </c>
      <c r="AB104" s="295" t="s">
        <v>461</v>
      </c>
      <c r="AC104" s="309" t="s">
        <v>118</v>
      </c>
      <c r="AD104" s="244">
        <v>102</v>
      </c>
    </row>
    <row r="105" spans="1:30" ht="73.2" customHeight="1" thickBot="1">
      <c r="A105" s="297" t="s">
        <v>326</v>
      </c>
      <c r="B105" s="295" t="s">
        <v>434</v>
      </c>
      <c r="C105" s="311" t="s">
        <v>247</v>
      </c>
      <c r="D105" s="312" t="s">
        <v>248</v>
      </c>
      <c r="E105" s="313">
        <v>44958</v>
      </c>
      <c r="F105" s="240"/>
      <c r="G105" s="240"/>
      <c r="H105" s="241" t="s">
        <v>38</v>
      </c>
      <c r="I105" s="242"/>
      <c r="J105" s="273"/>
      <c r="K105" s="273"/>
      <c r="L105" s="274"/>
      <c r="M105" s="282" t="s">
        <v>38</v>
      </c>
      <c r="N105" s="254"/>
      <c r="O105" s="266"/>
      <c r="P105" s="266"/>
      <c r="Q105" s="267"/>
      <c r="R105" s="241"/>
      <c r="S105" s="242"/>
      <c r="T105" s="273"/>
      <c r="U105" s="274"/>
      <c r="V105" s="272"/>
      <c r="W105" s="254"/>
      <c r="X105" s="247">
        <v>4</v>
      </c>
      <c r="Y105" s="297" t="s">
        <v>307</v>
      </c>
      <c r="Z105" s="297" t="s">
        <v>310</v>
      </c>
      <c r="AA105" s="297" t="s">
        <v>13</v>
      </c>
      <c r="AB105" s="295" t="s">
        <v>461</v>
      </c>
      <c r="AC105" s="309" t="s">
        <v>118</v>
      </c>
      <c r="AD105" s="244">
        <v>103</v>
      </c>
    </row>
    <row r="106" spans="1:30" ht="73.2" customHeight="1" thickBot="1">
      <c r="A106" s="297" t="s">
        <v>327</v>
      </c>
      <c r="B106" s="295" t="s">
        <v>435</v>
      </c>
      <c r="C106" s="311" t="s">
        <v>249</v>
      </c>
      <c r="D106" s="312" t="s">
        <v>250</v>
      </c>
      <c r="E106" s="313" t="s">
        <v>288</v>
      </c>
      <c r="F106" s="240"/>
      <c r="G106" s="240"/>
      <c r="H106" s="241" t="s">
        <v>34</v>
      </c>
      <c r="I106" s="242"/>
      <c r="J106" s="273"/>
      <c r="K106" s="273"/>
      <c r="L106" s="274"/>
      <c r="M106" s="282" t="s">
        <v>34</v>
      </c>
      <c r="N106" s="254"/>
      <c r="O106" s="266"/>
      <c r="P106" s="266"/>
      <c r="Q106" s="267"/>
      <c r="R106" s="241"/>
      <c r="S106" s="242"/>
      <c r="T106" s="273"/>
      <c r="U106" s="273"/>
      <c r="V106" s="272"/>
      <c r="W106" s="254"/>
      <c r="X106" s="247"/>
      <c r="Y106" s="297" t="s">
        <v>307</v>
      </c>
      <c r="Z106" s="297" t="s">
        <v>311</v>
      </c>
      <c r="AA106" s="297" t="s">
        <v>13</v>
      </c>
      <c r="AB106" s="295" t="s">
        <v>461</v>
      </c>
      <c r="AC106" s="309" t="s">
        <v>118</v>
      </c>
      <c r="AD106" s="244">
        <v>104</v>
      </c>
    </row>
    <row r="107" spans="1:30" ht="73.2" customHeight="1" thickBot="1">
      <c r="A107" s="297" t="s">
        <v>319</v>
      </c>
      <c r="B107" s="295" t="s">
        <v>436</v>
      </c>
      <c r="C107" s="311" t="s">
        <v>251</v>
      </c>
      <c r="D107" s="312" t="s">
        <v>252</v>
      </c>
      <c r="E107" s="313">
        <v>44986</v>
      </c>
      <c r="F107" s="240" t="s">
        <v>494</v>
      </c>
      <c r="G107" s="240"/>
      <c r="H107" s="241" t="s">
        <v>34</v>
      </c>
      <c r="I107" s="242"/>
      <c r="J107" s="273" t="str">
        <f>$N$107</f>
        <v>maintenance and new cameras ready to award contarct. Monitoring just going out to tender.</v>
      </c>
      <c r="K107" s="273"/>
      <c r="L107" s="274"/>
      <c r="M107" s="282" t="s">
        <v>34</v>
      </c>
      <c r="N107" s="254" t="s">
        <v>603</v>
      </c>
      <c r="O107" s="266"/>
      <c r="P107" s="266"/>
      <c r="Q107" s="267"/>
      <c r="R107" s="241"/>
      <c r="S107" s="242"/>
      <c r="T107" s="273"/>
      <c r="U107" s="273"/>
      <c r="V107" s="272"/>
      <c r="W107" s="254"/>
      <c r="X107" s="247">
        <v>4</v>
      </c>
      <c r="Y107" s="297" t="s">
        <v>329</v>
      </c>
      <c r="Z107" s="297" t="s">
        <v>299</v>
      </c>
      <c r="AA107" s="297" t="s">
        <v>13</v>
      </c>
      <c r="AB107" s="295" t="s">
        <v>462</v>
      </c>
      <c r="AC107" s="309" t="s">
        <v>116</v>
      </c>
      <c r="AD107" s="244">
        <v>105</v>
      </c>
    </row>
    <row r="108" spans="1:30" ht="73.2" customHeight="1" thickBot="1">
      <c r="A108" s="297" t="s">
        <v>319</v>
      </c>
      <c r="B108" s="295" t="s">
        <v>437</v>
      </c>
      <c r="C108" s="311" t="s">
        <v>251</v>
      </c>
      <c r="D108" s="312" t="s">
        <v>253</v>
      </c>
      <c r="E108" s="313">
        <v>44896</v>
      </c>
      <c r="F108" s="240" t="s">
        <v>577</v>
      </c>
      <c r="G108" s="240"/>
      <c r="H108" s="241" t="s">
        <v>34</v>
      </c>
      <c r="I108" s="242"/>
      <c r="J108" s="273" t="str">
        <f>$N$108</f>
        <v xml:space="preserve">Report being prepared based on monthly reports being generated. </v>
      </c>
      <c r="K108" s="273"/>
      <c r="L108" s="274"/>
      <c r="M108" s="282" t="s">
        <v>34</v>
      </c>
      <c r="N108" s="254" t="s">
        <v>604</v>
      </c>
      <c r="O108" s="266"/>
      <c r="P108" s="266"/>
      <c r="Q108" s="267"/>
      <c r="R108" s="241"/>
      <c r="S108" s="242"/>
      <c r="T108" s="273"/>
      <c r="U108" s="274"/>
      <c r="V108" s="272"/>
      <c r="W108" s="254"/>
      <c r="X108" s="247">
        <v>3</v>
      </c>
      <c r="Y108" s="297" t="s">
        <v>329</v>
      </c>
      <c r="Z108" s="297" t="s">
        <v>299</v>
      </c>
      <c r="AA108" s="297" t="s">
        <v>13</v>
      </c>
      <c r="AB108" s="295" t="s">
        <v>462</v>
      </c>
      <c r="AC108" s="309" t="s">
        <v>116</v>
      </c>
      <c r="AD108" s="244">
        <v>106</v>
      </c>
    </row>
    <row r="109" spans="1:30" ht="73.2" customHeight="1" thickBot="1">
      <c r="A109" s="297" t="s">
        <v>314</v>
      </c>
      <c r="B109" s="295" t="s">
        <v>438</v>
      </c>
      <c r="C109" s="311" t="s">
        <v>254</v>
      </c>
      <c r="D109" s="312" t="s">
        <v>255</v>
      </c>
      <c r="E109" s="313">
        <v>44805</v>
      </c>
      <c r="F109" s="240" t="s">
        <v>579</v>
      </c>
      <c r="G109" s="240"/>
      <c r="H109" s="241" t="s">
        <v>38</v>
      </c>
      <c r="I109" s="242" t="s">
        <v>578</v>
      </c>
      <c r="J109" s="274" t="s">
        <v>669</v>
      </c>
      <c r="K109" s="273"/>
      <c r="L109" s="274"/>
      <c r="M109" s="282" t="s">
        <v>25</v>
      </c>
      <c r="N109" s="254"/>
      <c r="O109" s="267"/>
      <c r="P109" s="266"/>
      <c r="Q109" s="267"/>
      <c r="R109" s="241"/>
      <c r="S109" s="242"/>
      <c r="T109" s="273"/>
      <c r="U109" s="274"/>
      <c r="V109" s="272"/>
      <c r="W109" s="254"/>
      <c r="X109" s="247">
        <v>2</v>
      </c>
      <c r="Y109" s="297" t="s">
        <v>329</v>
      </c>
      <c r="Z109" s="297" t="s">
        <v>294</v>
      </c>
      <c r="AA109" s="297" t="s">
        <v>13</v>
      </c>
      <c r="AB109" s="295" t="s">
        <v>463</v>
      </c>
      <c r="AC109" s="309" t="s">
        <v>116</v>
      </c>
      <c r="AD109" s="244">
        <v>107</v>
      </c>
    </row>
    <row r="110" spans="1:30" ht="73.2" customHeight="1" thickBot="1">
      <c r="A110" s="297" t="s">
        <v>320</v>
      </c>
      <c r="B110" s="295" t="s">
        <v>439</v>
      </c>
      <c r="C110" s="311" t="s">
        <v>94</v>
      </c>
      <c r="D110" s="312" t="s">
        <v>256</v>
      </c>
      <c r="E110" s="313">
        <v>44866</v>
      </c>
      <c r="F110" s="240"/>
      <c r="G110" s="240"/>
      <c r="H110" s="241" t="s">
        <v>38</v>
      </c>
      <c r="I110" s="242"/>
      <c r="J110" s="274" t="s">
        <v>639</v>
      </c>
      <c r="K110" s="273"/>
      <c r="L110" s="274"/>
      <c r="M110" s="282" t="s">
        <v>34</v>
      </c>
      <c r="N110" s="254"/>
      <c r="O110" s="266"/>
      <c r="P110" s="266"/>
      <c r="Q110" s="267"/>
      <c r="R110" s="241"/>
      <c r="S110" s="242"/>
      <c r="T110" s="273"/>
      <c r="U110" s="274"/>
      <c r="V110" s="272"/>
      <c r="W110" s="254"/>
      <c r="X110" s="243">
        <v>3</v>
      </c>
      <c r="Y110" s="297" t="s">
        <v>329</v>
      </c>
      <c r="Z110" s="297" t="s">
        <v>300</v>
      </c>
      <c r="AA110" s="297" t="s">
        <v>13</v>
      </c>
      <c r="AB110" s="295" t="s">
        <v>462</v>
      </c>
      <c r="AC110" s="309" t="s">
        <v>116</v>
      </c>
      <c r="AD110" s="244">
        <v>108</v>
      </c>
    </row>
    <row r="111" spans="1:30" ht="100.95" customHeight="1" thickBot="1">
      <c r="A111" s="297" t="s">
        <v>320</v>
      </c>
      <c r="B111" s="295" t="s">
        <v>440</v>
      </c>
      <c r="C111" s="311" t="s">
        <v>94</v>
      </c>
      <c r="D111" s="312" t="s">
        <v>257</v>
      </c>
      <c r="E111" s="313">
        <v>44805</v>
      </c>
      <c r="F111" s="240" t="s">
        <v>490</v>
      </c>
      <c r="G111" s="240"/>
      <c r="H111" s="241" t="s">
        <v>34</v>
      </c>
      <c r="I111" s="242"/>
      <c r="J111" s="274" t="s">
        <v>640</v>
      </c>
      <c r="K111" s="273"/>
      <c r="L111" s="274"/>
      <c r="M111" s="282" t="s">
        <v>25</v>
      </c>
      <c r="N111" s="254"/>
      <c r="O111" s="266"/>
      <c r="P111" s="266"/>
      <c r="Q111" s="267"/>
      <c r="R111" s="241"/>
      <c r="S111" s="242"/>
      <c r="T111" s="273"/>
      <c r="U111" s="274"/>
      <c r="V111" s="272"/>
      <c r="W111" s="254"/>
      <c r="X111" s="247">
        <v>2</v>
      </c>
      <c r="Y111" s="297" t="s">
        <v>329</v>
      </c>
      <c r="Z111" s="297" t="s">
        <v>300</v>
      </c>
      <c r="AA111" s="297" t="s">
        <v>13</v>
      </c>
      <c r="AB111" s="295" t="s">
        <v>462</v>
      </c>
      <c r="AC111" s="309" t="s">
        <v>116</v>
      </c>
      <c r="AD111" s="244">
        <v>109</v>
      </c>
    </row>
    <row r="112" spans="1:30" ht="100.95" customHeight="1" thickBot="1">
      <c r="A112" s="297" t="s">
        <v>320</v>
      </c>
      <c r="B112" s="295" t="s">
        <v>441</v>
      </c>
      <c r="C112" s="311" t="s">
        <v>94</v>
      </c>
      <c r="D112" s="312" t="s">
        <v>258</v>
      </c>
      <c r="E112" s="313">
        <v>44805</v>
      </c>
      <c r="F112" s="240" t="s">
        <v>490</v>
      </c>
      <c r="G112" s="240"/>
      <c r="H112" s="241" t="s">
        <v>34</v>
      </c>
      <c r="I112" s="242"/>
      <c r="J112" s="274" t="s">
        <v>640</v>
      </c>
      <c r="K112" s="273"/>
      <c r="L112" s="274"/>
      <c r="M112" s="282" t="s">
        <v>25</v>
      </c>
      <c r="N112" s="254"/>
      <c r="O112" s="266"/>
      <c r="P112" s="266"/>
      <c r="Q112" s="267"/>
      <c r="R112" s="241"/>
      <c r="S112" s="242"/>
      <c r="T112" s="273"/>
      <c r="U112" s="274"/>
      <c r="V112" s="272"/>
      <c r="W112" s="254"/>
      <c r="X112" s="247">
        <v>2</v>
      </c>
      <c r="Y112" s="297" t="s">
        <v>329</v>
      </c>
      <c r="Z112" s="297" t="s">
        <v>300</v>
      </c>
      <c r="AA112" s="297" t="s">
        <v>13</v>
      </c>
      <c r="AB112" s="295" t="s">
        <v>462</v>
      </c>
      <c r="AC112" s="309" t="s">
        <v>116</v>
      </c>
      <c r="AD112" s="244">
        <v>110</v>
      </c>
    </row>
    <row r="113" spans="1:30" ht="73.2" customHeight="1" thickBot="1">
      <c r="A113" s="297" t="s">
        <v>599</v>
      </c>
      <c r="B113" s="295" t="s">
        <v>442</v>
      </c>
      <c r="C113" s="311" t="s">
        <v>259</v>
      </c>
      <c r="D113" s="312" t="s">
        <v>260</v>
      </c>
      <c r="E113" s="313"/>
      <c r="F113" s="330">
        <v>0.29299999999999998</v>
      </c>
      <c r="G113" s="323">
        <v>0.98</v>
      </c>
      <c r="H113" s="241" t="s">
        <v>34</v>
      </c>
      <c r="I113" s="242" t="s">
        <v>504</v>
      </c>
      <c r="J113" s="278">
        <v>0.57189999999999996</v>
      </c>
      <c r="K113" s="278">
        <v>0.57189999999999996</v>
      </c>
      <c r="L113" s="345">
        <v>0.98</v>
      </c>
      <c r="M113" s="282" t="s">
        <v>34</v>
      </c>
      <c r="N113" s="254" t="s">
        <v>504</v>
      </c>
      <c r="O113" s="231"/>
      <c r="P113" s="266"/>
      <c r="Q113" s="267"/>
      <c r="R113" s="241"/>
      <c r="S113" s="242"/>
      <c r="T113" s="273"/>
      <c r="U113" s="274"/>
      <c r="V113" s="272"/>
      <c r="W113" s="254"/>
      <c r="X113" s="247"/>
      <c r="Y113" s="297" t="s">
        <v>307</v>
      </c>
      <c r="Z113" s="297" t="s">
        <v>312</v>
      </c>
      <c r="AA113" s="297" t="s">
        <v>13</v>
      </c>
      <c r="AB113" s="295" t="s">
        <v>462</v>
      </c>
      <c r="AC113" s="309" t="s">
        <v>292</v>
      </c>
      <c r="AD113" s="244">
        <v>111</v>
      </c>
    </row>
    <row r="114" spans="1:30" ht="73.2" customHeight="1" thickBot="1">
      <c r="A114" s="297" t="s">
        <v>599</v>
      </c>
      <c r="B114" s="295" t="s">
        <v>443</v>
      </c>
      <c r="C114" s="311" t="s">
        <v>261</v>
      </c>
      <c r="D114" s="312" t="s">
        <v>262</v>
      </c>
      <c r="E114" s="313"/>
      <c r="F114" s="330">
        <v>0.3458</v>
      </c>
      <c r="G114" s="323">
        <v>0.99</v>
      </c>
      <c r="H114" s="241" t="s">
        <v>34</v>
      </c>
      <c r="I114" s="242" t="s">
        <v>504</v>
      </c>
      <c r="J114" s="347">
        <v>0.60109999999999997</v>
      </c>
      <c r="K114" s="278">
        <v>0.60109999999999997</v>
      </c>
      <c r="L114" s="345">
        <v>0.99</v>
      </c>
      <c r="M114" s="282" t="s">
        <v>34</v>
      </c>
      <c r="N114" s="254" t="s">
        <v>504</v>
      </c>
      <c r="O114" s="266"/>
      <c r="P114" s="266"/>
      <c r="Q114" s="267"/>
      <c r="R114" s="241"/>
      <c r="S114" s="242"/>
      <c r="T114" s="266"/>
      <c r="U114" s="274"/>
      <c r="V114" s="272"/>
      <c r="W114" s="254"/>
      <c r="X114" s="243"/>
      <c r="Y114" s="297" t="s">
        <v>307</v>
      </c>
      <c r="Z114" s="297" t="s">
        <v>312</v>
      </c>
      <c r="AA114" s="297" t="s">
        <v>13</v>
      </c>
      <c r="AB114" s="295" t="s">
        <v>462</v>
      </c>
      <c r="AC114" s="309" t="s">
        <v>292</v>
      </c>
      <c r="AD114" s="244">
        <v>112</v>
      </c>
    </row>
    <row r="115" spans="1:30" ht="73.2" customHeight="1" thickBot="1">
      <c r="A115" s="297" t="s">
        <v>599</v>
      </c>
      <c r="B115" s="295" t="s">
        <v>444</v>
      </c>
      <c r="C115" s="311" t="s">
        <v>263</v>
      </c>
      <c r="D115" s="312" t="s">
        <v>264</v>
      </c>
      <c r="E115" s="313"/>
      <c r="F115" s="331">
        <v>2338434.89</v>
      </c>
      <c r="G115" s="332">
        <v>2500000</v>
      </c>
      <c r="H115" s="241" t="s">
        <v>34</v>
      </c>
      <c r="I115" s="242" t="s">
        <v>505</v>
      </c>
      <c r="J115" s="348">
        <v>2319060.12</v>
      </c>
      <c r="K115" s="350">
        <v>2500000</v>
      </c>
      <c r="L115" s="274" t="s">
        <v>652</v>
      </c>
      <c r="M115" s="282" t="s">
        <v>34</v>
      </c>
      <c r="N115" s="254" t="s">
        <v>504</v>
      </c>
      <c r="O115" s="266"/>
      <c r="P115" s="266"/>
      <c r="Q115" s="267"/>
      <c r="R115" s="241"/>
      <c r="S115" s="242"/>
      <c r="T115" s="273"/>
      <c r="U115" s="274"/>
      <c r="V115" s="272"/>
      <c r="W115" s="254"/>
      <c r="X115" s="243"/>
      <c r="Y115" s="297" t="s">
        <v>307</v>
      </c>
      <c r="Z115" s="297" t="s">
        <v>312</v>
      </c>
      <c r="AA115" s="297" t="s">
        <v>13</v>
      </c>
      <c r="AB115" s="295" t="s">
        <v>462</v>
      </c>
      <c r="AC115" s="309" t="s">
        <v>292</v>
      </c>
      <c r="AD115" s="244">
        <v>113</v>
      </c>
    </row>
    <row r="116" spans="1:30" ht="73.2" customHeight="1" thickBot="1">
      <c r="A116" s="297" t="s">
        <v>599</v>
      </c>
      <c r="B116" s="295" t="s">
        <v>445</v>
      </c>
      <c r="C116" s="311" t="s">
        <v>263</v>
      </c>
      <c r="D116" s="312" t="s">
        <v>265</v>
      </c>
      <c r="E116" s="313"/>
      <c r="F116" s="331">
        <v>1581013.23</v>
      </c>
      <c r="G116" s="332">
        <v>1500000</v>
      </c>
      <c r="H116" s="241" t="s">
        <v>34</v>
      </c>
      <c r="I116" s="242" t="s">
        <v>505</v>
      </c>
      <c r="J116" s="348">
        <v>1539489.67</v>
      </c>
      <c r="K116" s="351">
        <v>1500000</v>
      </c>
      <c r="L116" s="345" t="s">
        <v>653</v>
      </c>
      <c r="M116" s="282" t="s">
        <v>34</v>
      </c>
      <c r="N116" s="254" t="s">
        <v>504</v>
      </c>
      <c r="O116" s="266"/>
      <c r="P116" s="266"/>
      <c r="Q116" s="267"/>
      <c r="R116" s="241"/>
      <c r="S116" s="242"/>
      <c r="T116" s="273"/>
      <c r="U116" s="274"/>
      <c r="V116" s="272"/>
      <c r="W116" s="254"/>
      <c r="X116" s="243"/>
      <c r="Y116" s="297" t="s">
        <v>307</v>
      </c>
      <c r="Z116" s="297" t="s">
        <v>312</v>
      </c>
      <c r="AA116" s="297" t="s">
        <v>13</v>
      </c>
      <c r="AB116" s="295" t="s">
        <v>462</v>
      </c>
      <c r="AC116" s="309" t="s">
        <v>292</v>
      </c>
      <c r="AD116" s="244">
        <v>114</v>
      </c>
    </row>
    <row r="117" spans="1:30" ht="73.2" customHeight="1" thickBot="1">
      <c r="A117" s="297" t="s">
        <v>599</v>
      </c>
      <c r="B117" s="295" t="s">
        <v>446</v>
      </c>
      <c r="C117" s="311" t="s">
        <v>263</v>
      </c>
      <c r="D117" s="312" t="s">
        <v>266</v>
      </c>
      <c r="E117" s="313"/>
      <c r="F117" s="331">
        <v>170724.22</v>
      </c>
      <c r="G117" s="332">
        <v>80000</v>
      </c>
      <c r="H117" s="241" t="s">
        <v>34</v>
      </c>
      <c r="I117" s="242" t="s">
        <v>598</v>
      </c>
      <c r="J117" s="352" t="s">
        <v>674</v>
      </c>
      <c r="K117" s="348">
        <v>1197447.8</v>
      </c>
      <c r="L117" s="274">
        <v>80000</v>
      </c>
      <c r="M117" s="282" t="s">
        <v>34</v>
      </c>
      <c r="N117" s="254" t="s">
        <v>673</v>
      </c>
      <c r="O117" s="266"/>
      <c r="P117" s="266"/>
      <c r="Q117" s="267"/>
      <c r="R117" s="241"/>
      <c r="S117" s="242"/>
      <c r="T117" s="273"/>
      <c r="U117" s="273"/>
      <c r="V117" s="272"/>
      <c r="W117" s="254"/>
      <c r="X117" s="243"/>
      <c r="Y117" s="297" t="s">
        <v>307</v>
      </c>
      <c r="Z117" s="297" t="s">
        <v>312</v>
      </c>
      <c r="AA117" s="297" t="s">
        <v>13</v>
      </c>
      <c r="AB117" s="295" t="s">
        <v>462</v>
      </c>
      <c r="AC117" s="309" t="s">
        <v>292</v>
      </c>
      <c r="AD117" s="244">
        <v>115</v>
      </c>
    </row>
    <row r="118" spans="1:30" ht="73.2" customHeight="1" thickBot="1">
      <c r="A118" s="297" t="s">
        <v>599</v>
      </c>
      <c r="B118" s="295" t="s">
        <v>447</v>
      </c>
      <c r="C118" s="311" t="s">
        <v>5</v>
      </c>
      <c r="D118" s="312" t="s">
        <v>101</v>
      </c>
      <c r="E118" s="313"/>
      <c r="F118" s="323">
        <v>0.99</v>
      </c>
      <c r="G118" s="323">
        <v>0.99</v>
      </c>
      <c r="H118" s="241" t="s">
        <v>34</v>
      </c>
      <c r="I118" s="242"/>
      <c r="J118" s="278">
        <v>0.99</v>
      </c>
      <c r="K118" s="285">
        <v>0.99</v>
      </c>
      <c r="L118" s="345">
        <v>0.99</v>
      </c>
      <c r="M118" s="282" t="s">
        <v>34</v>
      </c>
      <c r="N118" s="254"/>
      <c r="O118" s="266"/>
      <c r="P118" s="266"/>
      <c r="Q118" s="267"/>
      <c r="R118" s="241"/>
      <c r="S118" s="242"/>
      <c r="T118" s="278"/>
      <c r="U118" s="273"/>
      <c r="V118" s="272"/>
      <c r="W118" s="273"/>
      <c r="X118" s="243"/>
      <c r="Y118" s="297" t="s">
        <v>307</v>
      </c>
      <c r="Z118" s="297" t="s">
        <v>312</v>
      </c>
      <c r="AA118" s="297" t="s">
        <v>13</v>
      </c>
      <c r="AB118" s="295" t="s">
        <v>462</v>
      </c>
      <c r="AC118" s="309" t="s">
        <v>292</v>
      </c>
      <c r="AD118" s="244">
        <v>116</v>
      </c>
    </row>
    <row r="119" spans="1:30" ht="73.2" customHeight="1" thickBot="1">
      <c r="A119" s="297" t="s">
        <v>599</v>
      </c>
      <c r="B119" s="295" t="s">
        <v>448</v>
      </c>
      <c r="C119" s="311" t="s">
        <v>5</v>
      </c>
      <c r="D119" s="312" t="s">
        <v>102</v>
      </c>
      <c r="E119" s="313"/>
      <c r="F119" s="323">
        <v>0.8</v>
      </c>
      <c r="G119" s="323">
        <v>0.8</v>
      </c>
      <c r="H119" s="241" t="s">
        <v>34</v>
      </c>
      <c r="I119" s="242"/>
      <c r="J119" s="285">
        <v>0.8</v>
      </c>
      <c r="K119" s="285">
        <v>0.8</v>
      </c>
      <c r="L119" s="345">
        <v>0.8</v>
      </c>
      <c r="M119" s="282" t="s">
        <v>34</v>
      </c>
      <c r="N119" s="254"/>
      <c r="O119" s="266"/>
      <c r="P119" s="266"/>
      <c r="Q119" s="267"/>
      <c r="R119" s="241"/>
      <c r="S119" s="242"/>
      <c r="T119" s="273"/>
      <c r="U119" s="274"/>
      <c r="V119" s="272"/>
      <c r="W119" s="254"/>
      <c r="X119" s="243"/>
      <c r="Y119" s="297" t="s">
        <v>307</v>
      </c>
      <c r="Z119" s="297" t="s">
        <v>312</v>
      </c>
      <c r="AA119" s="297" t="s">
        <v>13</v>
      </c>
      <c r="AB119" s="295" t="s">
        <v>462</v>
      </c>
      <c r="AC119" s="309" t="s">
        <v>292</v>
      </c>
      <c r="AD119" s="244">
        <v>117</v>
      </c>
    </row>
    <row r="120" spans="1:30" ht="73.2" customHeight="1" thickBot="1">
      <c r="A120" s="297" t="s">
        <v>599</v>
      </c>
      <c r="B120" s="295" t="s">
        <v>449</v>
      </c>
      <c r="C120" s="311" t="s">
        <v>97</v>
      </c>
      <c r="D120" s="312" t="s">
        <v>267</v>
      </c>
      <c r="E120" s="313"/>
      <c r="F120" s="240" t="s">
        <v>502</v>
      </c>
      <c r="G120" s="240" t="s">
        <v>503</v>
      </c>
      <c r="H120" s="241" t="s">
        <v>34</v>
      </c>
      <c r="I120" s="242"/>
      <c r="J120" s="273">
        <v>4.46</v>
      </c>
      <c r="K120" s="273">
        <v>4.0599999999999996</v>
      </c>
      <c r="L120" s="274">
        <v>4.5</v>
      </c>
      <c r="M120" s="282" t="s">
        <v>34</v>
      </c>
      <c r="N120" s="254" t="s">
        <v>641</v>
      </c>
      <c r="O120" s="266"/>
      <c r="P120" s="266"/>
      <c r="Q120" s="267"/>
      <c r="R120" s="241"/>
      <c r="S120" s="242"/>
      <c r="T120" s="273"/>
      <c r="U120" s="274"/>
      <c r="V120" s="272"/>
      <c r="W120" s="254"/>
      <c r="X120" s="243"/>
      <c r="Y120" s="297" t="s">
        <v>307</v>
      </c>
      <c r="Z120" s="297" t="s">
        <v>312</v>
      </c>
      <c r="AA120" s="297" t="s">
        <v>13</v>
      </c>
      <c r="AB120" s="295" t="s">
        <v>462</v>
      </c>
      <c r="AC120" s="309" t="s">
        <v>292</v>
      </c>
      <c r="AD120" s="244">
        <v>118</v>
      </c>
    </row>
    <row r="121" spans="1:30" ht="73.2" customHeight="1" thickBot="1">
      <c r="A121" s="297" t="s">
        <v>599</v>
      </c>
      <c r="B121" s="295" t="s">
        <v>450</v>
      </c>
      <c r="C121" s="311" t="s">
        <v>106</v>
      </c>
      <c r="D121" s="312" t="s">
        <v>485</v>
      </c>
      <c r="E121" s="313"/>
      <c r="F121" s="323">
        <v>0.86</v>
      </c>
      <c r="G121" s="323">
        <v>0.9</v>
      </c>
      <c r="H121" s="241" t="s">
        <v>34</v>
      </c>
      <c r="I121" s="242"/>
      <c r="J121" s="349">
        <v>1.2059</v>
      </c>
      <c r="K121" s="278">
        <v>1.1329</v>
      </c>
      <c r="L121" s="345">
        <v>0.9</v>
      </c>
      <c r="M121" s="282" t="s">
        <v>34</v>
      </c>
      <c r="N121" s="254"/>
      <c r="O121" s="266"/>
      <c r="P121" s="266"/>
      <c r="Q121" s="267"/>
      <c r="R121" s="241"/>
      <c r="S121" s="242"/>
      <c r="T121" s="273"/>
      <c r="U121" s="274"/>
      <c r="V121" s="272"/>
      <c r="W121" s="254"/>
      <c r="X121" s="243"/>
      <c r="Y121" s="297" t="s">
        <v>307</v>
      </c>
      <c r="Z121" s="297" t="s">
        <v>312</v>
      </c>
      <c r="AA121" s="297" t="s">
        <v>13</v>
      </c>
      <c r="AB121" s="295" t="s">
        <v>462</v>
      </c>
      <c r="AC121" s="309" t="s">
        <v>292</v>
      </c>
      <c r="AD121" s="244">
        <v>119</v>
      </c>
    </row>
    <row r="122" spans="1:30" ht="73.2" customHeight="1" thickBot="1">
      <c r="A122" s="297" t="s">
        <v>599</v>
      </c>
      <c r="B122" s="295" t="s">
        <v>451</v>
      </c>
      <c r="C122" s="311" t="s">
        <v>106</v>
      </c>
      <c r="D122" s="312" t="s">
        <v>486</v>
      </c>
      <c r="E122" s="313"/>
      <c r="F122" s="323">
        <v>0.83</v>
      </c>
      <c r="G122" s="323">
        <v>0.9</v>
      </c>
      <c r="H122" s="241" t="s">
        <v>34</v>
      </c>
      <c r="I122" s="242"/>
      <c r="J122" s="278">
        <v>0.86499999999999999</v>
      </c>
      <c r="K122" s="278">
        <v>0.86199999999999999</v>
      </c>
      <c r="L122" s="345">
        <v>0.9</v>
      </c>
      <c r="M122" s="282" t="s">
        <v>34</v>
      </c>
      <c r="N122" s="254"/>
      <c r="O122" s="266"/>
      <c r="P122" s="266"/>
      <c r="Q122" s="267"/>
      <c r="R122" s="241"/>
      <c r="S122" s="242"/>
      <c r="T122" s="273"/>
      <c r="U122" s="274"/>
      <c r="V122" s="272"/>
      <c r="W122" s="254"/>
      <c r="X122" s="243"/>
      <c r="Y122" s="297" t="s">
        <v>307</v>
      </c>
      <c r="Z122" s="297" t="s">
        <v>312</v>
      </c>
      <c r="AA122" s="297" t="s">
        <v>13</v>
      </c>
      <c r="AB122" s="295" t="s">
        <v>462</v>
      </c>
      <c r="AC122" s="309" t="s">
        <v>292</v>
      </c>
      <c r="AD122" s="244">
        <v>120</v>
      </c>
    </row>
    <row r="123" spans="1:30" ht="73.2" customHeight="1" thickBot="1">
      <c r="A123" s="297" t="s">
        <v>599</v>
      </c>
      <c r="B123" s="295" t="s">
        <v>452</v>
      </c>
      <c r="C123" s="311" t="s">
        <v>106</v>
      </c>
      <c r="D123" s="312" t="s">
        <v>487</v>
      </c>
      <c r="E123" s="313"/>
      <c r="F123" s="323">
        <v>0.51</v>
      </c>
      <c r="G123" s="323">
        <v>0.51</v>
      </c>
      <c r="H123" s="241" t="s">
        <v>34</v>
      </c>
      <c r="I123" s="242"/>
      <c r="J123" s="273" t="s">
        <v>651</v>
      </c>
      <c r="K123" s="285">
        <v>0.53</v>
      </c>
      <c r="L123" s="345">
        <v>0.5</v>
      </c>
      <c r="M123" s="282" t="s">
        <v>34</v>
      </c>
      <c r="N123" s="254" t="s">
        <v>685</v>
      </c>
      <c r="O123" s="266"/>
      <c r="P123" s="266"/>
      <c r="Q123" s="267"/>
      <c r="R123" s="241"/>
      <c r="S123" s="242"/>
      <c r="T123" s="273"/>
      <c r="U123" s="282"/>
      <c r="V123" s="272"/>
      <c r="W123" s="254"/>
      <c r="X123" s="243"/>
      <c r="Y123" s="297" t="s">
        <v>307</v>
      </c>
      <c r="Z123" s="297" t="s">
        <v>312</v>
      </c>
      <c r="AA123" s="297" t="s">
        <v>13</v>
      </c>
      <c r="AB123" s="295" t="s">
        <v>462</v>
      </c>
      <c r="AC123" s="309" t="s">
        <v>292</v>
      </c>
      <c r="AD123" s="244">
        <v>121</v>
      </c>
    </row>
    <row r="124" spans="1:30" ht="73.2" customHeight="1" thickBot="1">
      <c r="A124" s="297" t="s">
        <v>599</v>
      </c>
      <c r="B124" s="295" t="s">
        <v>453</v>
      </c>
      <c r="C124" s="311" t="s">
        <v>268</v>
      </c>
      <c r="D124" s="312" t="s">
        <v>269</v>
      </c>
      <c r="E124" s="313">
        <v>44896</v>
      </c>
      <c r="F124" s="240"/>
      <c r="G124" s="333"/>
      <c r="H124" s="241" t="s">
        <v>38</v>
      </c>
      <c r="I124" s="242"/>
      <c r="J124" s="273"/>
      <c r="K124" s="273"/>
      <c r="L124" s="274"/>
      <c r="M124" s="282" t="s">
        <v>25</v>
      </c>
      <c r="N124" s="254" t="s">
        <v>642</v>
      </c>
      <c r="O124" s="266"/>
      <c r="P124" s="266"/>
      <c r="Q124" s="267"/>
      <c r="R124" s="241"/>
      <c r="S124" s="242"/>
      <c r="T124" s="273"/>
      <c r="U124" s="274"/>
      <c r="V124" s="272"/>
      <c r="W124" s="254"/>
      <c r="X124" s="243">
        <v>3</v>
      </c>
      <c r="Y124" s="297" t="s">
        <v>307</v>
      </c>
      <c r="Z124" s="297" t="s">
        <v>312</v>
      </c>
      <c r="AA124" s="297" t="s">
        <v>13</v>
      </c>
      <c r="AB124" s="295" t="s">
        <v>462</v>
      </c>
      <c r="AC124" s="309" t="s">
        <v>292</v>
      </c>
      <c r="AD124" s="244">
        <v>122</v>
      </c>
    </row>
    <row r="125" spans="1:30" ht="73.2" customHeight="1" thickBot="1">
      <c r="A125" s="297" t="s">
        <v>599</v>
      </c>
      <c r="B125" s="295" t="s">
        <v>454</v>
      </c>
      <c r="C125" s="311" t="s">
        <v>270</v>
      </c>
      <c r="D125" s="312" t="s">
        <v>271</v>
      </c>
      <c r="E125" s="313">
        <v>44835</v>
      </c>
      <c r="F125" s="240"/>
      <c r="G125" s="240"/>
      <c r="H125" s="241" t="s">
        <v>38</v>
      </c>
      <c r="I125" s="242"/>
      <c r="J125" s="273"/>
      <c r="K125" s="273"/>
      <c r="L125" s="274"/>
      <c r="M125" s="282" t="s">
        <v>25</v>
      </c>
      <c r="N125" s="254" t="s">
        <v>643</v>
      </c>
      <c r="O125" s="266"/>
      <c r="P125" s="266"/>
      <c r="Q125" s="267"/>
      <c r="R125" s="241"/>
      <c r="S125" s="242"/>
      <c r="T125" s="273"/>
      <c r="U125" s="274"/>
      <c r="V125" s="272"/>
      <c r="W125" s="254"/>
      <c r="X125" s="243">
        <v>3</v>
      </c>
      <c r="Y125" s="297" t="s">
        <v>307</v>
      </c>
      <c r="Z125" s="297" t="s">
        <v>312</v>
      </c>
      <c r="AA125" s="297" t="s">
        <v>13</v>
      </c>
      <c r="AB125" s="295" t="s">
        <v>462</v>
      </c>
      <c r="AC125" s="309" t="s">
        <v>292</v>
      </c>
      <c r="AD125" s="244">
        <v>123</v>
      </c>
    </row>
    <row r="126" spans="1:30" ht="117.6" customHeight="1" thickBot="1">
      <c r="A126" s="297" t="s">
        <v>315</v>
      </c>
      <c r="B126" s="295" t="s">
        <v>455</v>
      </c>
      <c r="C126" s="311" t="s">
        <v>98</v>
      </c>
      <c r="D126" s="312" t="s">
        <v>99</v>
      </c>
      <c r="E126" s="313" t="s">
        <v>289</v>
      </c>
      <c r="F126" s="333" t="s">
        <v>581</v>
      </c>
      <c r="G126" s="240"/>
      <c r="H126" s="241" t="s">
        <v>34</v>
      </c>
      <c r="I126" s="242" t="s">
        <v>580</v>
      </c>
      <c r="J126" s="333" t="s">
        <v>618</v>
      </c>
      <c r="K126" s="273"/>
      <c r="L126" s="274"/>
      <c r="M126" s="282" t="s">
        <v>34</v>
      </c>
      <c r="N126" s="254"/>
      <c r="O126" s="266"/>
      <c r="P126" s="266"/>
      <c r="Q126" s="267"/>
      <c r="R126" s="241"/>
      <c r="S126" s="242"/>
      <c r="T126" s="273"/>
      <c r="U126" s="274"/>
      <c r="V126" s="272"/>
      <c r="W126" s="254"/>
      <c r="X126" s="243"/>
      <c r="Y126" s="297" t="s">
        <v>329</v>
      </c>
      <c r="Z126" s="297" t="s">
        <v>295</v>
      </c>
      <c r="AA126" s="297" t="s">
        <v>13</v>
      </c>
      <c r="AB126" s="295" t="s">
        <v>463</v>
      </c>
      <c r="AC126" s="309" t="s">
        <v>290</v>
      </c>
      <c r="AD126" s="244">
        <v>124</v>
      </c>
    </row>
    <row r="127" spans="1:30" ht="117.6" customHeight="1" thickBot="1">
      <c r="A127" s="297" t="s">
        <v>315</v>
      </c>
      <c r="B127" s="295" t="s">
        <v>456</v>
      </c>
      <c r="C127" s="311" t="s">
        <v>272</v>
      </c>
      <c r="D127" s="312" t="s">
        <v>273</v>
      </c>
      <c r="E127" s="313">
        <v>44743</v>
      </c>
      <c r="F127" s="240" t="s">
        <v>541</v>
      </c>
      <c r="G127" s="240"/>
      <c r="H127" s="241" t="s">
        <v>34</v>
      </c>
      <c r="I127" s="242"/>
      <c r="J127" s="240" t="s">
        <v>619</v>
      </c>
      <c r="K127" s="273"/>
      <c r="L127" s="274"/>
      <c r="M127" s="282" t="s">
        <v>25</v>
      </c>
      <c r="N127" s="254" t="s">
        <v>620</v>
      </c>
      <c r="O127" s="266"/>
      <c r="P127" s="266"/>
      <c r="Q127" s="267"/>
      <c r="R127" s="241"/>
      <c r="S127" s="242"/>
      <c r="T127" s="273"/>
      <c r="U127" s="274"/>
      <c r="V127" s="272"/>
      <c r="W127" s="254"/>
      <c r="X127" s="243">
        <v>2</v>
      </c>
      <c r="Y127" s="297" t="s">
        <v>329</v>
      </c>
      <c r="Z127" s="297" t="s">
        <v>295</v>
      </c>
      <c r="AA127" s="297" t="s">
        <v>13</v>
      </c>
      <c r="AB127" s="295" t="s">
        <v>463</v>
      </c>
      <c r="AC127" s="309" t="s">
        <v>290</v>
      </c>
      <c r="AD127" s="244">
        <v>125</v>
      </c>
    </row>
    <row r="128" spans="1:30" ht="73.2" customHeight="1" thickBot="1">
      <c r="A128" s="297" t="s">
        <v>324</v>
      </c>
      <c r="B128" s="295" t="s">
        <v>457</v>
      </c>
      <c r="C128" s="311" t="s">
        <v>100</v>
      </c>
      <c r="D128" s="312" t="s">
        <v>274</v>
      </c>
      <c r="E128" s="313">
        <v>44986</v>
      </c>
      <c r="F128" s="230" t="s">
        <v>499</v>
      </c>
      <c r="G128" s="240"/>
      <c r="H128" s="241" t="s">
        <v>34</v>
      </c>
      <c r="I128" s="242"/>
      <c r="J128" s="273" t="s">
        <v>693</v>
      </c>
      <c r="K128" s="273"/>
      <c r="L128" s="274"/>
      <c r="M128" s="282" t="s">
        <v>34</v>
      </c>
      <c r="N128" s="254"/>
      <c r="O128" s="266"/>
      <c r="P128" s="266"/>
      <c r="Q128" s="267"/>
      <c r="R128" s="241"/>
      <c r="S128" s="242"/>
      <c r="T128" s="273"/>
      <c r="U128" s="282"/>
      <c r="V128" s="272"/>
      <c r="W128" s="254"/>
      <c r="X128" s="243">
        <v>4</v>
      </c>
      <c r="Y128" s="297" t="s">
        <v>329</v>
      </c>
      <c r="Z128" s="297" t="s">
        <v>304</v>
      </c>
      <c r="AA128" s="297" t="s">
        <v>13</v>
      </c>
      <c r="AB128" s="295" t="s">
        <v>463</v>
      </c>
      <c r="AC128" s="309" t="s">
        <v>290</v>
      </c>
      <c r="AD128" s="244">
        <v>126</v>
      </c>
    </row>
    <row r="129" spans="1:30" ht="73.2" customHeight="1" thickBot="1">
      <c r="A129" s="297" t="s">
        <v>314</v>
      </c>
      <c r="B129" s="295" t="s">
        <v>458</v>
      </c>
      <c r="C129" s="311" t="s">
        <v>93</v>
      </c>
      <c r="D129" s="312" t="s">
        <v>275</v>
      </c>
      <c r="E129" s="313">
        <v>44866</v>
      </c>
      <c r="F129" s="240" t="s">
        <v>518</v>
      </c>
      <c r="G129" s="240"/>
      <c r="H129" s="241" t="s">
        <v>38</v>
      </c>
      <c r="I129" s="242"/>
      <c r="J129" s="273" t="s">
        <v>670</v>
      </c>
      <c r="K129" s="273"/>
      <c r="L129" s="274"/>
      <c r="M129" s="282" t="s">
        <v>34</v>
      </c>
      <c r="N129" s="254"/>
      <c r="O129" s="266"/>
      <c r="P129" s="266"/>
      <c r="Q129" s="267"/>
      <c r="R129" s="241"/>
      <c r="S129" s="242"/>
      <c r="T129" s="273"/>
      <c r="U129" s="274"/>
      <c r="V129" s="272"/>
      <c r="W129" s="254"/>
      <c r="X129" s="243">
        <v>3</v>
      </c>
      <c r="Y129" s="297" t="s">
        <v>329</v>
      </c>
      <c r="Z129" s="297" t="s">
        <v>294</v>
      </c>
      <c r="AA129" s="297" t="s">
        <v>13</v>
      </c>
      <c r="AB129" s="295" t="s">
        <v>464</v>
      </c>
      <c r="AC129" s="309" t="s">
        <v>290</v>
      </c>
      <c r="AD129" s="244">
        <v>127</v>
      </c>
    </row>
    <row r="130" spans="1:30" ht="73.2" customHeight="1" thickBot="1">
      <c r="A130" s="297" t="s">
        <v>314</v>
      </c>
      <c r="B130" s="295" t="s">
        <v>459</v>
      </c>
      <c r="C130" s="311" t="s">
        <v>276</v>
      </c>
      <c r="D130" s="312" t="s">
        <v>277</v>
      </c>
      <c r="E130" s="313">
        <v>44805</v>
      </c>
      <c r="F130" s="240" t="s">
        <v>519</v>
      </c>
      <c r="G130" s="240"/>
      <c r="H130" s="241" t="s">
        <v>38</v>
      </c>
      <c r="I130" s="242"/>
      <c r="J130" s="273" t="s">
        <v>669</v>
      </c>
      <c r="K130" s="273"/>
      <c r="L130" s="274"/>
      <c r="M130" s="282" t="s">
        <v>25</v>
      </c>
      <c r="N130" s="254"/>
      <c r="O130" s="266"/>
      <c r="P130" s="266"/>
      <c r="Q130" s="267"/>
      <c r="R130" s="241"/>
      <c r="S130" s="242"/>
      <c r="T130" s="273"/>
      <c r="U130" s="282"/>
      <c r="V130" s="272"/>
      <c r="W130" s="254"/>
      <c r="X130" s="243">
        <v>2</v>
      </c>
      <c r="Y130" s="297" t="s">
        <v>329</v>
      </c>
      <c r="Z130" s="297" t="s">
        <v>294</v>
      </c>
      <c r="AA130" s="297" t="s">
        <v>13</v>
      </c>
      <c r="AB130" s="295" t="s">
        <v>464</v>
      </c>
      <c r="AC130" s="309" t="s">
        <v>290</v>
      </c>
      <c r="AD130" s="244">
        <v>128</v>
      </c>
    </row>
    <row r="131" spans="1:30" ht="73.2" customHeight="1" thickBot="1">
      <c r="A131" s="297" t="s">
        <v>314</v>
      </c>
      <c r="B131" s="295" t="s">
        <v>460</v>
      </c>
      <c r="C131" s="311" t="s">
        <v>137</v>
      </c>
      <c r="D131" s="312" t="s">
        <v>278</v>
      </c>
      <c r="E131" s="313">
        <v>44805</v>
      </c>
      <c r="F131" s="240" t="s">
        <v>592</v>
      </c>
      <c r="G131" s="240"/>
      <c r="H131" s="241" t="s">
        <v>34</v>
      </c>
      <c r="I131" s="242"/>
      <c r="J131" s="273" t="s">
        <v>671</v>
      </c>
      <c r="K131" s="273"/>
      <c r="L131" s="274"/>
      <c r="M131" s="282" t="s">
        <v>25</v>
      </c>
      <c r="N131" s="254"/>
      <c r="O131" s="266"/>
      <c r="P131" s="266"/>
      <c r="Q131" s="267"/>
      <c r="R131" s="241"/>
      <c r="S131" s="242"/>
      <c r="T131" s="273"/>
      <c r="U131" s="274"/>
      <c r="V131" s="272"/>
      <c r="W131" s="254"/>
      <c r="X131" s="243">
        <v>2</v>
      </c>
      <c r="Y131" s="297" t="s">
        <v>329</v>
      </c>
      <c r="Z131" s="297" t="s">
        <v>294</v>
      </c>
      <c r="AA131" s="297" t="s">
        <v>13</v>
      </c>
      <c r="AB131" s="295" t="s">
        <v>464</v>
      </c>
      <c r="AC131" s="309" t="s">
        <v>290</v>
      </c>
      <c r="AD131" s="244">
        <v>129</v>
      </c>
    </row>
    <row r="150" spans="1:1" ht="97.95" customHeight="1">
      <c r="A150" s="299" t="s">
        <v>24</v>
      </c>
    </row>
    <row r="151" spans="1:1" ht="97.95" customHeight="1">
      <c r="A151" s="299" t="s">
        <v>25</v>
      </c>
    </row>
    <row r="152" spans="1:1" ht="97.95" customHeight="1">
      <c r="A152" s="299" t="s">
        <v>26</v>
      </c>
    </row>
    <row r="153" spans="1:1" ht="97.95" customHeight="1">
      <c r="A153" s="299" t="s">
        <v>27</v>
      </c>
    </row>
    <row r="154" spans="1:1" ht="97.95" customHeight="1">
      <c r="A154" s="299" t="s">
        <v>28</v>
      </c>
    </row>
    <row r="155" spans="1:1" ht="97.95" customHeight="1">
      <c r="A155" s="299" t="s">
        <v>29</v>
      </c>
    </row>
    <row r="156" spans="1:1" ht="97.95" customHeight="1">
      <c r="A156" s="299" t="s">
        <v>30</v>
      </c>
    </row>
    <row r="157" spans="1:1" ht="97.95" customHeight="1">
      <c r="A157" s="299" t="s">
        <v>31</v>
      </c>
    </row>
    <row r="158" spans="1:1" ht="97.95" customHeight="1">
      <c r="A158" s="299" t="s">
        <v>32</v>
      </c>
    </row>
    <row r="159" spans="1:1" ht="97.95" customHeight="1">
      <c r="A159" s="299" t="s">
        <v>33</v>
      </c>
    </row>
    <row r="160" spans="1:1" ht="97.95" customHeight="1">
      <c r="A160" s="251"/>
    </row>
    <row r="161" spans="1:1" ht="97.95" customHeight="1">
      <c r="A161" s="251"/>
    </row>
    <row r="162" spans="1:1" ht="97.95" customHeight="1">
      <c r="A162" s="251"/>
    </row>
    <row r="163" spans="1:1" ht="97.95" customHeight="1">
      <c r="A163" s="252"/>
    </row>
    <row r="164" spans="1:1" ht="97.95" customHeight="1">
      <c r="A164" s="252"/>
    </row>
    <row r="165" spans="1:1" ht="97.95" customHeight="1">
      <c r="A165" s="251"/>
    </row>
    <row r="166" spans="1:1" ht="97.95" customHeight="1">
      <c r="A166" s="251"/>
    </row>
    <row r="167" spans="1:1" ht="97.95" customHeight="1">
      <c r="A167" s="251"/>
    </row>
    <row r="168" spans="1:1" ht="97.95" customHeight="1">
      <c r="A168" s="253" t="s">
        <v>25</v>
      </c>
    </row>
    <row r="169" spans="1:1" ht="97.95" customHeight="1">
      <c r="A169" s="253" t="s">
        <v>34</v>
      </c>
    </row>
    <row r="170" spans="1:1" ht="97.95" customHeight="1">
      <c r="A170" s="253" t="s">
        <v>35</v>
      </c>
    </row>
    <row r="171" spans="1:1" ht="97.95" customHeight="1">
      <c r="A171" s="253" t="s">
        <v>29</v>
      </c>
    </row>
    <row r="172" spans="1:1" ht="97.95" customHeight="1">
      <c r="A172" s="253" t="s">
        <v>36</v>
      </c>
    </row>
    <row r="173" spans="1:1" ht="97.95" customHeight="1">
      <c r="A173" s="300" t="s">
        <v>33</v>
      </c>
    </row>
    <row r="174" spans="1:1" ht="97.95" customHeight="1">
      <c r="A174" s="253" t="s">
        <v>38</v>
      </c>
    </row>
    <row r="175" spans="1:1" ht="97.95" customHeight="1">
      <c r="A175" s="253" t="s">
        <v>37</v>
      </c>
    </row>
    <row r="176" spans="1:1" ht="97.95" customHeight="1">
      <c r="A176" s="253" t="s">
        <v>32</v>
      </c>
    </row>
  </sheetData>
  <sheetProtection selectLockedCells="1" autoFilter="0" pivotTables="0"/>
  <autoFilter ref="A2:AE131"/>
  <sortState ref="A3:AD131">
    <sortCondition ref="AD3:AD131"/>
  </sortState>
  <mergeCells count="4">
    <mergeCell ref="F1:I1"/>
    <mergeCell ref="J1:N1"/>
    <mergeCell ref="O1:S1"/>
    <mergeCell ref="T1:W1"/>
  </mergeCells>
  <conditionalFormatting sqref="R3:R131 H3:H131 M3:M131">
    <cfRule type="containsText" dxfId="3962" priority="1861" operator="containsText" text="Deferred">
      <formula>NOT(ISERROR(SEARCH("Deferred",H3)))</formula>
    </cfRule>
    <cfRule type="containsText" dxfId="3961" priority="1863" operator="containsText" text="Update Not Provided">
      <formula>NOT(ISERROR(SEARCH("Update Not Provided",H3)))</formula>
    </cfRule>
    <cfRule type="containsText" dxfId="3960" priority="1864" operator="containsText" text="Not Yet Due">
      <formula>NOT(ISERROR(SEARCH("Not Yet Due",H3)))</formula>
    </cfRule>
    <cfRule type="containsText" dxfId="3959" priority="1865" operator="containsText" text="Deleted">
      <formula>NOT(ISERROR(SEARCH("Deleted",H3)))</formula>
    </cfRule>
    <cfRule type="containsText" dxfId="3958" priority="1866" operator="containsText" text="Completed Behind Schedule">
      <formula>NOT(ISERROR(SEARCH("Completed Behind Schedule",H3)))</formula>
    </cfRule>
    <cfRule type="containsText" dxfId="3957" priority="1867" operator="containsText" text="Off Target">
      <formula>NOT(ISERROR(SEARCH("Off Target",H3)))</formula>
    </cfRule>
    <cfRule type="containsText" dxfId="3956" priority="1868" operator="containsText" text="In Danger of Falling Behind Target">
      <formula>NOT(ISERROR(SEARCH("In Danger of Falling Behind Target",H3)))</formula>
    </cfRule>
    <cfRule type="containsText" dxfId="3955" priority="1869" operator="containsText" text="Fully Achieved">
      <formula>NOT(ISERROR(SEARCH("Fully Achieved",H3)))</formula>
    </cfRule>
    <cfRule type="containsText" dxfId="3954" priority="1870" operator="containsText" text="On track to be achieved">
      <formula>NOT(ISERROR(SEARCH("On track to be achieved",H3)))</formula>
    </cfRule>
  </conditionalFormatting>
  <conditionalFormatting sqref="V3:V131">
    <cfRule type="containsText" dxfId="3953" priority="795" operator="containsText" text="Deleted">
      <formula>NOT(ISERROR(SEARCH("Deleted",V3)))</formula>
    </cfRule>
    <cfRule type="containsText" dxfId="3952" priority="796" operator="containsText" text="Deferred">
      <formula>NOT(ISERROR(SEARCH("Deferred",V3)))</formula>
    </cfRule>
    <cfRule type="containsText" dxfId="3951" priority="797" operator="containsText" text="Completion date within reasonable tolerance">
      <formula>NOT(ISERROR(SEARCH("Completion date within reasonable tolerance",V3)))</formula>
    </cfRule>
    <cfRule type="containsText" dxfId="3950" priority="798" operator="containsText" text="completed significantly after target deadline">
      <formula>NOT(ISERROR(SEARCH("completed significantly after target deadline",V3)))</formula>
    </cfRule>
    <cfRule type="containsText" dxfId="3949" priority="799" operator="containsText" text="Off target">
      <formula>NOT(ISERROR(SEARCH("Off target",V3)))</formula>
    </cfRule>
    <cfRule type="containsText" dxfId="3948" priority="800" operator="containsText" text="Target partially met">
      <formula>NOT(ISERROR(SEARCH("Target partially met",V3)))</formula>
    </cfRule>
    <cfRule type="containsText" dxfId="3947" priority="801" operator="containsText" text="Numerical outturn within 10% tolerance">
      <formula>NOT(ISERROR(SEARCH("Numerical outturn within 10% tolerance",V3)))</formula>
    </cfRule>
    <cfRule type="containsText" dxfId="3946" priority="802" operator="containsText" text="Numerical outturn within 5% Tolerance">
      <formula>NOT(ISERROR(SEARCH("Numerical outturn within 5% Tolerance",V3)))</formula>
    </cfRule>
    <cfRule type="containsText" dxfId="3945" priority="803" operator="containsText" text="Fully Achieved">
      <formula>NOT(ISERROR(SEARCH("Fully Achieved",V3)))</formula>
    </cfRule>
    <cfRule type="containsText" dxfId="3944" priority="804" operator="containsText" text="Update Not Provided">
      <formula>NOT(ISERROR(SEARCH("Update Not Provided",V3)))</formula>
    </cfRule>
    <cfRule type="containsText" dxfId="3943" priority="805" operator="containsText" text="Deferred">
      <formula>NOT(ISERROR(SEARCH("Deferred",V3)))</formula>
    </cfRule>
    <cfRule type="containsText" dxfId="3942" priority="806" operator="containsText" text="Update Not Provided">
      <formula>NOT(ISERROR(SEARCH("Update Not Provided",V3)))</formula>
    </cfRule>
    <cfRule type="containsText" dxfId="3941" priority="807" operator="containsText" text="Not Yet Due">
      <formula>NOT(ISERROR(SEARCH("Not Yet Due",V3)))</formula>
    </cfRule>
    <cfRule type="containsText" dxfId="3940" priority="808" operator="containsText" text="Deleted">
      <formula>NOT(ISERROR(SEARCH("Deleted",V3)))</formula>
    </cfRule>
    <cfRule type="containsText" dxfId="3939" priority="809" operator="containsText" text="Completed Behind Schedule">
      <formula>NOT(ISERROR(SEARCH("Completed Behind Schedule",V3)))</formula>
    </cfRule>
    <cfRule type="containsText" dxfId="3938" priority="810" operator="containsText" text="Off Target">
      <formula>NOT(ISERROR(SEARCH("Off Target",V3)))</formula>
    </cfRule>
    <cfRule type="containsText" dxfId="3937" priority="811" operator="containsText" text="In Danger of Falling Behind Target">
      <formula>NOT(ISERROR(SEARCH("In Danger of Falling Behind Target",V3)))</formula>
    </cfRule>
    <cfRule type="containsText" dxfId="3936" priority="812" operator="containsText" text="Fully Achieved">
      <formula>NOT(ISERROR(SEARCH("Fully Achieved",V3)))</formula>
    </cfRule>
    <cfRule type="containsText" dxfId="3935" priority="813" operator="containsText" text="On track to be achieved">
      <formula>NOT(ISERROR(SEARCH("On track to be achieved",V3)))</formula>
    </cfRule>
  </conditionalFormatting>
  <dataValidations xWindow="1406" yWindow="834"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R3:R131 H3:H131 M3:M131">
      <formula1>$A$168:$A$176</formula1>
    </dataValidation>
  </dataValidations>
  <pageMargins left="0.23622047244094491" right="0.23622047244094491" top="0.74803149606299213" bottom="0.74803149606299213" header="0.31496062992125984" footer="0.31496062992125984"/>
  <pageSetup paperSize="8" scale="6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topLeftCell="A2" zoomScale="80" zoomScaleNormal="80" workbookViewId="0">
      <selection activeCell="C4" sqref="C4"/>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466</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Priority'!C5+'2a. % By Priority'!C6</f>
        <v>86</v>
      </c>
      <c r="D5" s="46">
        <f>'2a. % By Priority'!G5</f>
        <v>0.97727272727272729</v>
      </c>
      <c r="E5" s="47">
        <f>'2a. % By Priority'!C7</f>
        <v>0</v>
      </c>
      <c r="F5" s="37">
        <f>'2a. % By Priority'!G7</f>
        <v>0</v>
      </c>
      <c r="G5" s="57">
        <f>'2a. % By Priority'!C10+'2a. % By Priority'!C11</f>
        <v>2</v>
      </c>
      <c r="H5" s="58">
        <f>'2a. % By Priority'!G10</f>
        <v>2.2727272727272728E-2</v>
      </c>
      <c r="I5" s="43"/>
      <c r="J5" s="229"/>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229"/>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Priority'!C59+'2a. % By Priority'!C60</f>
        <v>25</v>
      </c>
      <c r="D7" s="46">
        <f>'2a. % By Priority'!G59</f>
        <v>0.92592592592592582</v>
      </c>
      <c r="E7" s="53">
        <f>'2a. % By Priority'!C61</f>
        <v>0</v>
      </c>
      <c r="F7" s="37">
        <f>'2a. % By Priority'!G61</f>
        <v>0</v>
      </c>
      <c r="G7" s="57">
        <f>'2a. % By Priority'!C64+'2a. % By Priority'!C65</f>
        <v>2</v>
      </c>
      <c r="H7" s="58">
        <f>'2a. % By Priority'!G64</f>
        <v>7.407407407407407E-2</v>
      </c>
      <c r="I7" s="43"/>
      <c r="J7" s="229"/>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Priority'!C41+'2a. % By Priority'!C42</f>
        <v>33</v>
      </c>
      <c r="D8" s="46">
        <f>'2a. % By Priority'!G41</f>
        <v>1</v>
      </c>
      <c r="E8" s="53">
        <f>'2a. % By Priority'!C43</f>
        <v>0</v>
      </c>
      <c r="F8" s="37">
        <f>'2a. % By Priority'!G43</f>
        <v>0</v>
      </c>
      <c r="G8" s="57">
        <f>'2a. % By Priority'!C46+'2a. % By Priority'!C47</f>
        <v>0</v>
      </c>
      <c r="H8" s="58">
        <f>'2a. % By Priority'!G46</f>
        <v>0</v>
      </c>
      <c r="I8" s="43"/>
      <c r="J8" s="229"/>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Priority'!C23+'2a. % By Priority'!C24</f>
        <v>28</v>
      </c>
      <c r="D9" s="46">
        <f>'2a. % By Priority'!G23</f>
        <v>1</v>
      </c>
      <c r="E9" s="53">
        <f>'2a. % By Priority'!C25</f>
        <v>0</v>
      </c>
      <c r="F9" s="37">
        <f>'2a. % By Priority'!G25</f>
        <v>0</v>
      </c>
      <c r="G9" s="57">
        <f>'2a. % By Priority'!C28+'2a. % By Priority'!C29</f>
        <v>0</v>
      </c>
      <c r="H9" s="58">
        <f>'2a. % By Priority'!G28</f>
        <v>0</v>
      </c>
      <c r="I9" s="43"/>
      <c r="J9" s="229"/>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229"/>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61">
        <f>'3a. % by Portfolio'!C5+'3a. % by Portfolio'!C6</f>
        <v>23</v>
      </c>
      <c r="D11" s="62">
        <f>'3a. % by Portfolio'!G5</f>
        <v>0.92</v>
      </c>
      <c r="E11" s="63">
        <f>'3a. % by Portfolio'!C7</f>
        <v>0</v>
      </c>
      <c r="F11" s="64">
        <f>'3a. % by Portfolio'!G7</f>
        <v>0</v>
      </c>
      <c r="G11" s="65">
        <f>'3a. % by Portfolio'!C10+'3a. % by Portfolio'!C11</f>
        <v>2</v>
      </c>
      <c r="H11" s="66">
        <f>'3a. % by Portfolio'!G10</f>
        <v>0.08</v>
      </c>
      <c r="I11" s="43"/>
      <c r="J11" s="229"/>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61">
        <f>'3a. % by Portfolio'!C24+'3a. % by Portfolio'!C25</f>
        <v>16</v>
      </c>
      <c r="D12" s="62">
        <f>'3a. % by Portfolio'!G24</f>
        <v>1</v>
      </c>
      <c r="E12" s="67">
        <f>'3a. % by Portfolio'!C26</f>
        <v>0</v>
      </c>
      <c r="F12" s="64">
        <f>'3a. % by Portfolio'!G26</f>
        <v>0</v>
      </c>
      <c r="G12" s="65">
        <f>'3a. % by Portfolio'!C29+'3a. % by Portfolio'!C30</f>
        <v>0</v>
      </c>
      <c r="H12" s="66">
        <f>'3a. % by Portfolio'!G29</f>
        <v>0</v>
      </c>
      <c r="I12" s="43"/>
      <c r="J12" s="229"/>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61">
        <f>'3a. % by Portfolio'!C42+'3a. % by Portfolio'!C43</f>
        <v>26</v>
      </c>
      <c r="D13" s="62">
        <f>'3a. % by Portfolio'!G42</f>
        <v>1</v>
      </c>
      <c r="E13" s="67">
        <f>'3a. % by Portfolio'!C44</f>
        <v>0</v>
      </c>
      <c r="F13" s="64">
        <f>'3a. % by Portfolio'!G44</f>
        <v>0</v>
      </c>
      <c r="G13" s="65">
        <f>'3a. % by Portfolio'!C47+'3a. % by Portfolio'!C48</f>
        <v>0</v>
      </c>
      <c r="H13" s="66">
        <f>'3a. % by Portfolio'!G47</f>
        <v>0</v>
      </c>
      <c r="I13" s="43"/>
      <c r="J13" s="229"/>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61">
        <f>'3a. % by Portfolio'!C60+'3a. % by Portfolio'!C61</f>
        <v>14</v>
      </c>
      <c r="D14" s="62">
        <f>'3a. % by Portfolio'!G60</f>
        <v>1</v>
      </c>
      <c r="E14" s="67">
        <f>'3a. % by Portfolio'!C62</f>
        <v>0</v>
      </c>
      <c r="F14" s="64">
        <f>'3a. % by Portfolio'!G62</f>
        <v>0</v>
      </c>
      <c r="G14" s="65">
        <f>'3a. % by Portfolio'!C65+'3a. % by Portfolio'!C66</f>
        <v>0</v>
      </c>
      <c r="H14" s="66">
        <f>'3a. % by Portfolio'!G65</f>
        <v>0</v>
      </c>
      <c r="I14" s="43"/>
      <c r="J14" s="229"/>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61">
        <f>'3a. % by Portfolio'!C78+'3a. % by Portfolio'!C79</f>
        <v>7</v>
      </c>
      <c r="D15" s="62">
        <f>'3a. % by Portfolio'!G78</f>
        <v>1</v>
      </c>
      <c r="E15" s="67">
        <f>'3a. % by Portfolio'!C80</f>
        <v>0</v>
      </c>
      <c r="F15" s="64">
        <f>'3a. % by Portfolio'!G80</f>
        <v>0</v>
      </c>
      <c r="G15" s="65">
        <f>'3a. % by Portfolio'!C83+'3a. % by Portfolio'!C84</f>
        <v>0</v>
      </c>
      <c r="H15" s="66">
        <f>'3a. % by Portfolio'!G83</f>
        <v>0</v>
      </c>
      <c r="I15" s="43"/>
      <c r="J15" s="229"/>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topLeftCell="A3" zoomScale="80" zoomScaleNormal="80" workbookViewId="0">
      <selection activeCell="B2" sqref="B2:H16"/>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467</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Priority'!J5+'2a. % By Priority'!J6</f>
        <v>110</v>
      </c>
      <c r="D5" s="46">
        <f>'2a. % By Priority'!N5</f>
        <v>0.95652173913043481</v>
      </c>
      <c r="E5" s="47">
        <f>'2a. % By Priority'!J7</f>
        <v>3</v>
      </c>
      <c r="F5" s="37">
        <f>'2a. % By Priority'!N7</f>
        <v>2.6086956521739129E-2</v>
      </c>
      <c r="G5" s="57">
        <f>'2a. % By Priority'!J10+'2a. % By Priority'!J11</f>
        <v>2</v>
      </c>
      <c r="H5" s="58">
        <f>'2a. % By Priority'!N10</f>
        <v>1.7391304347826087E-2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Priority'!J59+'2a. % By Priority'!J60</f>
        <v>34</v>
      </c>
      <c r="D7" s="46">
        <f>'2a. % By Priority'!N59</f>
        <v>0.94444444444444442</v>
      </c>
      <c r="E7" s="53">
        <f>'2a. % By Priority'!J61</f>
        <v>0</v>
      </c>
      <c r="F7" s="37">
        <f>'2a. % By Priority'!N61</f>
        <v>0</v>
      </c>
      <c r="G7" s="57">
        <f>'2a. % By Priority'!J64+'2a. % By Priority'!J65</f>
        <v>2</v>
      </c>
      <c r="H7" s="58">
        <f>'2a. % By Priority'!N64</f>
        <v>5.5555555555555552E-2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Priority'!J41+'2a. % By Priority'!J42</f>
        <v>42</v>
      </c>
      <c r="D8" s="46">
        <f>'2a. % By Priority'!N41</f>
        <v>1</v>
      </c>
      <c r="E8" s="53">
        <f>'2a. % By Priority'!J43</f>
        <v>0</v>
      </c>
      <c r="F8" s="37">
        <f>'2a. % By Priority'!N43</f>
        <v>0</v>
      </c>
      <c r="G8" s="57">
        <f>'2a. % By Priority'!J46+'2a. % By Priority'!J47</f>
        <v>0</v>
      </c>
      <c r="H8" s="58">
        <f>'2a. % By Priority'!N46</f>
        <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Priority'!J23+'2a. % By Priority'!J24</f>
        <v>34</v>
      </c>
      <c r="D9" s="46">
        <f>'2a. % By Priority'!N23</f>
        <v>0.91891891891891886</v>
      </c>
      <c r="E9" s="53">
        <f>'2a. % By Priority'!J25</f>
        <v>3</v>
      </c>
      <c r="F9" s="37">
        <f>'2a. % By Priority'!N25</f>
        <v>8.1081081081081086E-2</v>
      </c>
      <c r="G9" s="57">
        <f>'2a. % By Priority'!J28+'2a. % By Priority'!J29</f>
        <v>0</v>
      </c>
      <c r="H9" s="58">
        <f>'2a. % By Priority'!N28</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61">
        <f>'3a. % by Portfolio'!J5+'3a. % by Portfolio'!J6</f>
        <v>27</v>
      </c>
      <c r="D11" s="62">
        <f>'3a. % by Portfolio'!N5</f>
        <v>0.87096774193548387</v>
      </c>
      <c r="E11" s="63">
        <f>'3a. % by Portfolio'!J7</f>
        <v>2</v>
      </c>
      <c r="F11" s="64">
        <f>'3a. % by Portfolio'!N7</f>
        <v>6.4516129032258063E-2</v>
      </c>
      <c r="G11" s="57">
        <f>'3a. % by Portfolio'!J10+'3a. % by Portfolio'!J11</f>
        <v>2</v>
      </c>
      <c r="H11" s="66">
        <f>'3a. % by Portfolio'!N10</f>
        <v>6.4516129032258063E-2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61">
        <f>'3a. % by Portfolio'!J24+'3a. % by Portfolio'!J25</f>
        <v>19</v>
      </c>
      <c r="D12" s="62">
        <f>'3a. % by Portfolio'!N24</f>
        <v>1</v>
      </c>
      <c r="E12" s="67">
        <f>'3a. % by Portfolio'!J26</f>
        <v>0</v>
      </c>
      <c r="F12" s="64">
        <f>'3a. % by Portfolio'!N26</f>
        <v>0</v>
      </c>
      <c r="G12" s="57">
        <f>'3a. % by Portfolio'!J29+'3a. % by Portfolio'!J30</f>
        <v>0</v>
      </c>
      <c r="H12" s="66">
        <f>'3a. % by Portfolio'!N29</f>
        <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61">
        <f>'3a. % by Portfolio'!J42+'3a. % by Portfolio'!J43</f>
        <v>32</v>
      </c>
      <c r="D13" s="62">
        <f>'3a. % by Portfolio'!N42</f>
        <v>1</v>
      </c>
      <c r="E13" s="67">
        <f>'3a. % by Portfolio'!J44</f>
        <v>0</v>
      </c>
      <c r="F13" s="64">
        <f>'3a. % by Portfolio'!N44</f>
        <v>0</v>
      </c>
      <c r="G13" s="57">
        <f>'3a. % by Portfolio'!J47+'3a. % by Portfolio'!J48</f>
        <v>0</v>
      </c>
      <c r="H13" s="66">
        <f>'3a. % by Portfolio'!N47</f>
        <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61">
        <f>'3a. % by Portfolio'!J60+'3a. % by Portfolio'!J61</f>
        <v>23</v>
      </c>
      <c r="D14" s="62">
        <f>'3a. % by Portfolio'!N60</f>
        <v>1</v>
      </c>
      <c r="E14" s="67">
        <f>'3a. % by Portfolio'!J62</f>
        <v>0</v>
      </c>
      <c r="F14" s="64">
        <f>'3a. % by Portfolio'!N62</f>
        <v>0</v>
      </c>
      <c r="G14" s="57">
        <f>'3a. % by Portfolio'!J65+'3a. % by Portfolio'!J66</f>
        <v>0</v>
      </c>
      <c r="H14" s="66">
        <f>'3a. % by Portfolio'!N65</f>
        <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61">
        <f>'3a. % by Portfolio'!J78+'3a. % by Portfolio'!J79</f>
        <v>9</v>
      </c>
      <c r="D15" s="62">
        <f>'3a. % by Portfolio'!N78</f>
        <v>0.9</v>
      </c>
      <c r="E15" s="67">
        <f>'3a. % by Portfolio'!J80</f>
        <v>1</v>
      </c>
      <c r="F15" s="64">
        <f>'3a. % by Portfolio'!N80</f>
        <v>0.1</v>
      </c>
      <c r="G15" s="57">
        <f>'3a. % by Portfolio'!J83+'3a. % by Portfolio'!J84</f>
        <v>0</v>
      </c>
      <c r="H15" s="66">
        <f>'3a. % by Portfolio'!N83</f>
        <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sheetProtection algorithmName="SHA-512" hashValue="ij2fuMimDtZRXRIQSDyJ2vQjlCExncNidCoUpseldc6FfhNWOzBF3vkKl1T7IurYR9y+/OObC2ARqUHARlO1AA==" saltValue="beBr9R43tBhLpGnfJKvzpQ==" spinCount="100000" sheet="1" objects="1" scenarios="1"/>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G12" sqref="G12"/>
    </sheetView>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468</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Priority'!Q5+'2a. % By Priority'!Q6</f>
        <v>0</v>
      </c>
      <c r="D5" s="46" t="e">
        <f>'2a. % By Priority'!U5</f>
        <v>#DIV/0!</v>
      </c>
      <c r="E5" s="47">
        <f>'2a. % By Priority'!Q7</f>
        <v>0</v>
      </c>
      <c r="F5" s="37" t="e">
        <f>'2a. % By Priority'!U7</f>
        <v>#DIV/0!</v>
      </c>
      <c r="G5" s="57">
        <f>'2a. % By Priority'!Q10+'2a. % By Priority'!Q11</f>
        <v>0</v>
      </c>
      <c r="H5" s="58" t="e">
        <f>'2a. % By Priority'!U10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Priority'!Q59+'2a. % By Priority'!Q60</f>
        <v>0</v>
      </c>
      <c r="D7" s="46" t="e">
        <f>'2a. % By Priority'!U59</f>
        <v>#DIV/0!</v>
      </c>
      <c r="E7" s="53">
        <f>'2a. % By Priority'!Q61</f>
        <v>0</v>
      </c>
      <c r="F7" s="37" t="e">
        <f>'2a. % By Priority'!U61</f>
        <v>#DIV/0!</v>
      </c>
      <c r="G7" s="57">
        <f>'2a. % By Priority'!Q64+'2a. % By Priority'!Q65</f>
        <v>0</v>
      </c>
      <c r="H7" s="58" t="e">
        <f>'2a. % By Priority'!U64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Priority'!Q41+'2a. % By Priority'!Q42</f>
        <v>0</v>
      </c>
      <c r="D8" s="46" t="e">
        <f>'2a. % By Priority'!U41</f>
        <v>#DIV/0!</v>
      </c>
      <c r="E8" s="53">
        <f>'2a. % By Priority'!Q43</f>
        <v>0</v>
      </c>
      <c r="F8" s="37" t="e">
        <f>'2a. % By Priority'!U43</f>
        <v>#DIV/0!</v>
      </c>
      <c r="G8" s="57">
        <f>'2a. % By Priority'!Q46+'2a. % By Priority'!Q47</f>
        <v>0</v>
      </c>
      <c r="H8" s="58" t="e">
        <f>'2a. % By Priority'!U46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Priority'!Q23+'2a. % By Priority'!Q24</f>
        <v>0</v>
      </c>
      <c r="D9" s="46" t="e">
        <f>'2a. % By Priority'!U23</f>
        <v>#DIV/0!</v>
      </c>
      <c r="E9" s="53">
        <f>'2a. % By Priority'!Q25</f>
        <v>0</v>
      </c>
      <c r="F9" s="37" t="e">
        <f>'2a. % By Priority'!U25</f>
        <v>#DIV/0!</v>
      </c>
      <c r="G9" s="57">
        <f>'2a. % By Priority'!Q28+'2a. % By Priority'!Q29</f>
        <v>0</v>
      </c>
      <c r="H9" s="58" t="e">
        <f>'2a. % By Priority'!U28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61">
        <f>'3a. % by Portfolio'!Q5+'3a. % by Portfolio'!Q6</f>
        <v>0</v>
      </c>
      <c r="D11" s="62" t="e">
        <f>'3a. % by Portfolio'!U5</f>
        <v>#DIV/0!</v>
      </c>
      <c r="E11" s="63">
        <f>'3a. % by Portfolio'!Q7</f>
        <v>0</v>
      </c>
      <c r="F11" s="64" t="e">
        <f>'3a. % by Portfolio'!U7</f>
        <v>#DIV/0!</v>
      </c>
      <c r="G11" s="65">
        <f>'3a. % by Portfolio'!Q10+'3a. % by Portfolio'!Q11</f>
        <v>0</v>
      </c>
      <c r="H11" s="66" t="e">
        <f>'3a. % by Portfolio'!U10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61">
        <f>'3a. % by Portfolio'!Q24+'3a. % by Portfolio'!Q25</f>
        <v>0</v>
      </c>
      <c r="D12" s="62" t="e">
        <f>'3a. % by Portfolio'!U24</f>
        <v>#DIV/0!</v>
      </c>
      <c r="E12" s="67">
        <f>'3a. % by Portfolio'!Q26</f>
        <v>0</v>
      </c>
      <c r="F12" s="64" t="e">
        <f>'3a. % by Portfolio'!U26</f>
        <v>#DIV/0!</v>
      </c>
      <c r="G12" s="65">
        <f>'3a. % by Portfolio'!Q29+'3a. % by Portfolio'!Q30</f>
        <v>0</v>
      </c>
      <c r="H12" s="66" t="e">
        <f>'3a. % by Portfolio'!U29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61">
        <f>'3a. % by Portfolio'!Q42+'3a. % by Portfolio'!Q43</f>
        <v>0</v>
      </c>
      <c r="D13" s="62" t="e">
        <f>'3a. % by Portfolio'!U42</f>
        <v>#DIV/0!</v>
      </c>
      <c r="E13" s="67">
        <f>'3a. % by Portfolio'!Q44</f>
        <v>0</v>
      </c>
      <c r="F13" s="64" t="e">
        <f>'3a. % by Portfolio'!U44</f>
        <v>#DIV/0!</v>
      </c>
      <c r="G13" s="65">
        <f>'3a. % by Portfolio'!Q47+'3a. % by Portfolio'!Q48</f>
        <v>0</v>
      </c>
      <c r="H13" s="66" t="e">
        <f>'3a. % by Portfolio'!U47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61">
        <f>'3a. % by Portfolio'!Q60+'3a. % by Portfolio'!Q61</f>
        <v>0</v>
      </c>
      <c r="D14" s="62" t="e">
        <f>'3a. % by Portfolio'!U60</f>
        <v>#DIV/0!</v>
      </c>
      <c r="E14" s="67">
        <f>'3a. % by Portfolio'!Q62</f>
        <v>0</v>
      </c>
      <c r="F14" s="64" t="e">
        <f>'3a. % by Portfolio'!U62</f>
        <v>#DIV/0!</v>
      </c>
      <c r="G14" s="65">
        <f>'3a. % by Portfolio'!Q65+'3a. % by Portfolio'!Q66</f>
        <v>0</v>
      </c>
      <c r="H14" s="66" t="e">
        <f>'3a. % by Portfolio'!U65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61">
        <f>'3a. % by Portfolio'!Q78+'3a. % by Portfolio'!Q79</f>
        <v>0</v>
      </c>
      <c r="D15" s="62" t="e">
        <f>'3a. % by Portfolio'!U78</f>
        <v>#DIV/0!</v>
      </c>
      <c r="E15" s="67">
        <f>'3a. % by Portfolio'!Q80</f>
        <v>0</v>
      </c>
      <c r="F15" s="64" t="e">
        <f>'3a. % by Portfolio'!U80</f>
        <v>#DIV/0!</v>
      </c>
      <c r="G15" s="65">
        <f>'3a. % by Portfolio'!Q83+'3a. % by Portfolio'!Q84</f>
        <v>0</v>
      </c>
      <c r="H15" s="66" t="e">
        <f>'3a. % by Portfolio'!U83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6"/>
  <sheetViews>
    <sheetView zoomScale="80" zoomScaleNormal="80" workbookViewId="0">
      <selection activeCell="B1" sqref="B1"/>
    </sheetView>
  </sheetViews>
  <sheetFormatPr defaultColWidth="9.33203125" defaultRowHeight="14.4"/>
  <cols>
    <col min="1" max="1" width="9.33203125" style="31"/>
    <col min="2" max="2" width="49.5546875" style="4" customWidth="1"/>
    <col min="3" max="3" width="27.441406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c r="D1" s="33"/>
    </row>
    <row r="2" spans="1:40" ht="40.5" customHeight="1" thickTop="1" thickBot="1">
      <c r="B2" s="356" t="s">
        <v>280</v>
      </c>
      <c r="C2" s="358" t="s">
        <v>63</v>
      </c>
      <c r="D2" s="359"/>
      <c r="E2" s="360" t="s">
        <v>64</v>
      </c>
      <c r="F2" s="361"/>
      <c r="G2" s="362" t="s">
        <v>65</v>
      </c>
      <c r="H2" s="362"/>
    </row>
    <row r="3" spans="1:40" ht="50.25" customHeight="1" thickTop="1" thickBot="1">
      <c r="B3" s="357"/>
      <c r="C3" s="34" t="s">
        <v>67</v>
      </c>
      <c r="D3" s="35" t="s">
        <v>68</v>
      </c>
      <c r="E3" s="36" t="s">
        <v>67</v>
      </c>
      <c r="F3" s="37" t="s">
        <v>68</v>
      </c>
      <c r="G3" s="55" t="s">
        <v>67</v>
      </c>
      <c r="H3" s="56" t="s">
        <v>68</v>
      </c>
    </row>
    <row r="4" spans="1:40" s="42" customFormat="1" ht="22.2" thickTop="1" thickBot="1">
      <c r="A4" s="38"/>
      <c r="B4" s="39" t="s">
        <v>69</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70</v>
      </c>
      <c r="C5" s="45">
        <f>'2a. % By Priority'!X5+'2a. % By Priority'!X6</f>
        <v>0</v>
      </c>
      <c r="D5" s="46" t="e">
        <f>'2a. % By Priority'!AB5</f>
        <v>#DIV/0!</v>
      </c>
      <c r="E5" s="47">
        <f>'2a. % By Priority'!X7+'2a. % By Priority'!X8+'2a. % By Priority'!X9</f>
        <v>0</v>
      </c>
      <c r="F5" s="37" t="e">
        <f>'2a. % By Priority'!AB7</f>
        <v>#DIV/0!</v>
      </c>
      <c r="G5" s="57">
        <f>'2a. % By Priority'!X10+'2a. % By Priority'!X11</f>
        <v>0</v>
      </c>
      <c r="H5" s="58" t="e">
        <f>'2a. % By Priority'!AB10</f>
        <v>#DIV/0!</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71</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12</v>
      </c>
      <c r="C7" s="45">
        <f>'2a. % By Priority'!X59+'2a. % By Priority'!X60</f>
        <v>0</v>
      </c>
      <c r="D7" s="46" t="e">
        <f>'2a. % By Priority'!AB59</f>
        <v>#DIV/0!</v>
      </c>
      <c r="E7" s="53">
        <f>'2a. % By Priority'!X61+'2a. % By Priority'!X62+'2a. % By Priority'!X63</f>
        <v>0</v>
      </c>
      <c r="F7" s="37" t="e">
        <f>'2a. % By Priority'!AB61</f>
        <v>#DIV/0!</v>
      </c>
      <c r="G7" s="57">
        <f>'2a. % By Priority'!X64+'2a. % By Priority'!X65</f>
        <v>0</v>
      </c>
      <c r="H7" s="58" t="e">
        <f>'2a. % By Priority'!AB64</f>
        <v>#DIV/0!</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66</v>
      </c>
      <c r="C8" s="45">
        <f>'2a. % By Priority'!X41+'2a. % By Priority'!X42</f>
        <v>0</v>
      </c>
      <c r="D8" s="46" t="e">
        <f>SUM('2a. % By Priority'!AB41:AB42)</f>
        <v>#DIV/0!</v>
      </c>
      <c r="E8" s="53">
        <f>'2a. % By Priority'!X43+'2a. % By Priority'!X44+'2a. % By Priority'!X45</f>
        <v>0</v>
      </c>
      <c r="F8" s="37" t="e">
        <f>'2a. % By Priority'!AB43</f>
        <v>#DIV/0!</v>
      </c>
      <c r="G8" s="57">
        <f>'2a. % By Priority'!X46+'2a. % By Priority'!X47</f>
        <v>0</v>
      </c>
      <c r="H8" s="58" t="e">
        <f>'2a. % By Priority'!AB46</f>
        <v>#DIV/0!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13</v>
      </c>
      <c r="C9" s="45">
        <f>'2a. % By Priority'!X23+'2a. % By Priority'!X24</f>
        <v>0</v>
      </c>
      <c r="D9" s="46" t="e">
        <f>'2a. % By Priority'!AB23</f>
        <v>#DIV/0!</v>
      </c>
      <c r="E9" s="53">
        <f>'2a. % By Priority'!X25+'2a. % By Priority'!X26+'2a. % By Priority'!X27</f>
        <v>0</v>
      </c>
      <c r="F9" s="37" t="e">
        <f>'2a. % By Priority'!AB25</f>
        <v>#DIV/0!</v>
      </c>
      <c r="G9" s="57">
        <f>'2a. % By Priority'!X28+'2a. % By Priority'!X29</f>
        <v>0</v>
      </c>
      <c r="H9" s="58" t="e">
        <f>'2a. % By Priority'!AB28</f>
        <v>#DIV/0!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10</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469</v>
      </c>
      <c r="C11" s="45">
        <f>'3a. % by Portfolio'!X5+'3a. % by Portfolio'!X6</f>
        <v>0</v>
      </c>
      <c r="D11" s="46" t="e">
        <f>'3a. % by Portfolio'!AB5</f>
        <v>#DIV/0!</v>
      </c>
      <c r="E11" s="53">
        <f>SUM('3a. % by Portfolio'!X7:X9)</f>
        <v>0</v>
      </c>
      <c r="F11" s="37" t="e">
        <f>'3a. % by Portfolio'!AB7</f>
        <v>#DIV/0!</v>
      </c>
      <c r="G11" s="57">
        <f>'3a. % by Portfolio'!X10+'3a. % by Portfolio'!X11</f>
        <v>0</v>
      </c>
      <c r="H11" s="58" t="e">
        <f>'3a. % by Portfolio'!AB10</f>
        <v>#DIV/0!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463</v>
      </c>
      <c r="C12" s="45">
        <f>'3a. % by Portfolio'!X24+'3a. % by Portfolio'!X25</f>
        <v>0</v>
      </c>
      <c r="D12" s="46" t="e">
        <f>'3a. % by Portfolio'!AB24</f>
        <v>#DIV/0!</v>
      </c>
      <c r="E12" s="144">
        <f>'3a. % by Portfolio'!X26+'3a. % by Portfolio'!X27+'3a. % by Portfolio'!X28</f>
        <v>0</v>
      </c>
      <c r="F12" s="37" t="e">
        <f>'3a. % by Portfolio'!AB26</f>
        <v>#DIV/0!</v>
      </c>
      <c r="G12" s="57">
        <f>'3a. % by Portfolio'!X28+'3a. % by Portfolio'!X29</f>
        <v>0</v>
      </c>
      <c r="H12" s="58" t="e">
        <f>'3a. % by Portfolio'!AB29</f>
        <v>#DIV/0!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462</v>
      </c>
      <c r="C13" s="45">
        <f>'3a. % by Portfolio'!X42+'3a. % by Portfolio'!X43</f>
        <v>0</v>
      </c>
      <c r="D13" s="46" t="e">
        <f>'3a. % by Portfolio'!AB42</f>
        <v>#DIV/0!</v>
      </c>
      <c r="E13" s="144">
        <f>'3a. % by Portfolio'!X44+'3a. % by Portfolio'!X45+'3a. % by Portfolio'!X46</f>
        <v>0</v>
      </c>
      <c r="F13" s="37" t="e">
        <f>'3a. % by Portfolio'!AB44</f>
        <v>#DIV/0!</v>
      </c>
      <c r="G13" s="57">
        <f>'3a. % by Portfolio'!X47+'3a. % by Portfolio'!X48</f>
        <v>0</v>
      </c>
      <c r="H13" s="58" t="e">
        <f>'3a. % by Portfolio'!AB47</f>
        <v>#DIV/0!</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464</v>
      </c>
      <c r="C14" s="45">
        <f>'3a. % by Portfolio'!X60+'3a. % by Portfolio'!X61</f>
        <v>0</v>
      </c>
      <c r="D14" s="46" t="e">
        <f>'3a. % by Portfolio'!AB60</f>
        <v>#DIV/0!</v>
      </c>
      <c r="E14" s="144">
        <f>'3a. % by Portfolio'!X62+'3a. % by Portfolio'!X63+'3a. % by Portfolio'!X64</f>
        <v>0</v>
      </c>
      <c r="F14" s="37" t="e">
        <f>'3a. % by Portfolio'!AB62</f>
        <v>#DIV/0!</v>
      </c>
      <c r="G14" s="57">
        <f>'3a. % by Portfolio'!X65+'3a. % by Portfolio'!X66</f>
        <v>0</v>
      </c>
      <c r="H14" s="58" t="e">
        <f>'3a. % by Portfolio'!AB65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470</v>
      </c>
      <c r="C15" s="45">
        <f>'3a. % by Portfolio'!X78+'3a. % by Portfolio'!X79</f>
        <v>0</v>
      </c>
      <c r="D15" s="46" t="e">
        <f>'3a. % by Portfolio'!AB78</f>
        <v>#DIV/0!</v>
      </c>
      <c r="E15" s="144">
        <f>'3a. % by Portfolio'!X80+'3a. % by Portfolio'!X81+'3a. % by Portfolio'!X82</f>
        <v>0</v>
      </c>
      <c r="F15" s="37" t="e">
        <f>'3a. % by Portfolio'!AB80</f>
        <v>#DIV/0!</v>
      </c>
      <c r="G15" s="57">
        <f>'3a. % by Portfolio'!X83+'3a. % by Portfolio'!X84</f>
        <v>0</v>
      </c>
      <c r="H15" s="58" t="e">
        <f>'3a. % by Portfolio'!AB83</f>
        <v>#DIV/0!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pageMargins left="0.23622047244094491" right="0.23622047244094491" top="0.74803149606299213" bottom="0.74803149606299213" header="0.31496062992125984" footer="0.31496062992125984"/>
  <pageSetup paperSize="9" scale="64"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3"/>
  <sheetViews>
    <sheetView zoomScale="80" zoomScaleNormal="80" workbookViewId="0">
      <selection activeCell="I3" sqref="I3:N17"/>
    </sheetView>
  </sheetViews>
  <sheetFormatPr defaultColWidth="9.33203125" defaultRowHeight="13.8"/>
  <cols>
    <col min="1" max="1" width="2.33203125" style="159" customWidth="1"/>
    <col min="2" max="2" width="38.6640625" style="159" customWidth="1"/>
    <col min="3" max="3" width="13.5546875" style="156" customWidth="1"/>
    <col min="4" max="4" width="13.6640625" style="156" customWidth="1"/>
    <col min="5" max="5" width="16.44140625" style="156" customWidth="1"/>
    <col min="6" max="6" width="14.33203125" style="156" customWidth="1"/>
    <col min="7" max="7" width="17.33203125" style="156" customWidth="1"/>
    <col min="8" max="8" width="4.5546875" style="156" customWidth="1"/>
    <col min="9" max="9" width="38.6640625" style="159" customWidth="1"/>
    <col min="10" max="10" width="13.5546875" style="156" customWidth="1"/>
    <col min="11" max="11" width="13.6640625" style="156" customWidth="1"/>
    <col min="12" max="12" width="16.44140625" style="156" customWidth="1"/>
    <col min="13" max="13" width="14.33203125" style="156" customWidth="1"/>
    <col min="14" max="14" width="17.33203125" style="156" customWidth="1"/>
    <col min="15" max="15" width="4.5546875" style="156" customWidth="1"/>
    <col min="16" max="16" width="38.6640625" style="159" hidden="1" customWidth="1"/>
    <col min="17" max="17" width="13.5546875" style="156" hidden="1" customWidth="1"/>
    <col min="18" max="18" width="13.6640625" style="156" hidden="1" customWidth="1"/>
    <col min="19" max="19" width="16.44140625" style="156" hidden="1" customWidth="1"/>
    <col min="20" max="20" width="14.33203125" style="156" hidden="1" customWidth="1"/>
    <col min="21" max="21" width="17.33203125" style="156" hidden="1" customWidth="1"/>
    <col min="22" max="22" width="4.5546875" style="156" hidden="1" customWidth="1"/>
    <col min="23" max="23" width="55.44140625" style="156" hidden="1" customWidth="1"/>
    <col min="24" max="24" width="14.5546875" style="156" hidden="1" customWidth="1"/>
    <col min="25" max="27" width="17.33203125" style="156" hidden="1" customWidth="1"/>
    <col min="28" max="28" width="17.33203125" style="183" hidden="1" customWidth="1"/>
    <col min="29" max="29" width="1.6640625" style="159" hidden="1" customWidth="1"/>
    <col min="30" max="30" width="12" style="159" hidden="1" customWidth="1"/>
    <col min="31" max="32" width="9.33203125" style="159" customWidth="1"/>
    <col min="33" max="16384" width="9.33203125" style="159"/>
  </cols>
  <sheetData>
    <row r="1" spans="2:31" s="153" customFormat="1" ht="21">
      <c r="B1" s="145" t="s">
        <v>471</v>
      </c>
      <c r="C1" s="146"/>
      <c r="D1" s="147"/>
      <c r="E1" s="147"/>
      <c r="F1" s="147"/>
      <c r="G1" s="147"/>
      <c r="H1" s="148"/>
      <c r="I1" s="145" t="s">
        <v>472</v>
      </c>
      <c r="J1" s="146"/>
      <c r="K1" s="147"/>
      <c r="L1" s="147"/>
      <c r="M1" s="147"/>
      <c r="N1" s="147"/>
      <c r="O1" s="148"/>
      <c r="P1" s="149" t="s">
        <v>473</v>
      </c>
      <c r="Q1" s="146"/>
      <c r="R1" s="147"/>
      <c r="S1" s="147"/>
      <c r="T1" s="147"/>
      <c r="U1" s="147"/>
      <c r="V1" s="148"/>
      <c r="W1" s="150" t="s">
        <v>474</v>
      </c>
      <c r="X1" s="151"/>
      <c r="Y1" s="151"/>
      <c r="Z1" s="151"/>
      <c r="AA1" s="151"/>
      <c r="AB1" s="152"/>
    </row>
    <row r="2" spans="2:31" ht="15.6">
      <c r="B2" s="154"/>
      <c r="C2" s="155"/>
      <c r="D2" s="155"/>
      <c r="E2" s="155"/>
      <c r="F2" s="155"/>
      <c r="G2" s="155"/>
      <c r="I2" s="154"/>
      <c r="J2" s="155"/>
      <c r="K2" s="155"/>
      <c r="L2" s="155"/>
      <c r="M2" s="155"/>
      <c r="N2" s="155"/>
      <c r="P2" s="154"/>
      <c r="Q2" s="155"/>
      <c r="R2" s="155"/>
      <c r="S2" s="155"/>
      <c r="T2" s="155"/>
      <c r="U2" s="155"/>
      <c r="W2" s="157"/>
      <c r="X2" s="157"/>
      <c r="Y2" s="157"/>
      <c r="Z2" s="157"/>
      <c r="AA2" s="157"/>
      <c r="AB2" s="158"/>
    </row>
    <row r="3" spans="2:31" ht="15.6">
      <c r="B3" s="160" t="s">
        <v>45</v>
      </c>
      <c r="C3" s="161"/>
      <c r="D3" s="161"/>
      <c r="E3" s="161"/>
      <c r="F3" s="161"/>
      <c r="G3" s="162"/>
      <c r="I3" s="160" t="s">
        <v>45</v>
      </c>
      <c r="J3" s="161"/>
      <c r="K3" s="161"/>
      <c r="L3" s="161"/>
      <c r="M3" s="161"/>
      <c r="N3" s="162"/>
      <c r="P3" s="160" t="s">
        <v>45</v>
      </c>
      <c r="Q3" s="161"/>
      <c r="R3" s="161"/>
      <c r="S3" s="161"/>
      <c r="T3" s="161"/>
      <c r="U3" s="162"/>
      <c r="W3" s="163" t="s">
        <v>45</v>
      </c>
      <c r="X3" s="164"/>
      <c r="Y3" s="164"/>
      <c r="Z3" s="164"/>
      <c r="AA3" s="164"/>
      <c r="AB3" s="165"/>
    </row>
    <row r="4" spans="2:31" s="156" customFormat="1" ht="39" customHeight="1">
      <c r="B4" s="166" t="s">
        <v>46</v>
      </c>
      <c r="C4" s="166" t="s">
        <v>47</v>
      </c>
      <c r="D4" s="166" t="s">
        <v>48</v>
      </c>
      <c r="E4" s="166" t="s">
        <v>49</v>
      </c>
      <c r="F4" s="166" t="s">
        <v>50</v>
      </c>
      <c r="G4" s="166" t="s">
        <v>51</v>
      </c>
      <c r="I4" s="166" t="s">
        <v>46</v>
      </c>
      <c r="J4" s="166" t="s">
        <v>47</v>
      </c>
      <c r="K4" s="166" t="s">
        <v>48</v>
      </c>
      <c r="L4" s="166" t="s">
        <v>49</v>
      </c>
      <c r="M4" s="166" t="s">
        <v>50</v>
      </c>
      <c r="N4" s="166" t="s">
        <v>51</v>
      </c>
      <c r="P4" s="166" t="s">
        <v>46</v>
      </c>
      <c r="Q4" s="166" t="s">
        <v>47</v>
      </c>
      <c r="R4" s="166" t="s">
        <v>48</v>
      </c>
      <c r="S4" s="166" t="s">
        <v>49</v>
      </c>
      <c r="T4" s="166" t="s">
        <v>50</v>
      </c>
      <c r="U4" s="166" t="s">
        <v>51</v>
      </c>
      <c r="W4" s="166" t="s">
        <v>46</v>
      </c>
      <c r="X4" s="166" t="s">
        <v>47</v>
      </c>
      <c r="Y4" s="166" t="s">
        <v>48</v>
      </c>
      <c r="Z4" s="166" t="s">
        <v>49</v>
      </c>
      <c r="AA4" s="166" t="s">
        <v>50</v>
      </c>
      <c r="AB4" s="166" t="s">
        <v>51</v>
      </c>
    </row>
    <row r="5" spans="2:31" ht="30.75" customHeight="1">
      <c r="B5" s="232" t="s">
        <v>52</v>
      </c>
      <c r="C5" s="169">
        <f>COUNTIF('1. All Data'!$H$3:$H$131,"Fully Achieved")</f>
        <v>11</v>
      </c>
      <c r="D5" s="170">
        <f>C5/C16</f>
        <v>8.5271317829457363E-2</v>
      </c>
      <c r="E5" s="363">
        <f>D5+D6</f>
        <v>0.66666666666666674</v>
      </c>
      <c r="F5" s="170">
        <f>C5/C17</f>
        <v>0.125</v>
      </c>
      <c r="G5" s="378">
        <f>F5+F6</f>
        <v>0.97727272727272729</v>
      </c>
      <c r="I5" s="232" t="s">
        <v>52</v>
      </c>
      <c r="J5" s="169">
        <f>COUNTIF('1. All Data'!$M$3:$M$133,"Fully Achieved")</f>
        <v>40</v>
      </c>
      <c r="K5" s="170">
        <f>J5/J16</f>
        <v>0.31007751937984496</v>
      </c>
      <c r="L5" s="363">
        <f>K5+K6</f>
        <v>0.8527131782945736</v>
      </c>
      <c r="M5" s="170">
        <f>J5/J17</f>
        <v>0.34782608695652173</v>
      </c>
      <c r="N5" s="378">
        <f>M5+M6</f>
        <v>0.95652173913043481</v>
      </c>
      <c r="P5" s="232" t="s">
        <v>52</v>
      </c>
      <c r="Q5" s="169">
        <f>COUNTIF('1. All Data'!$R$3:$R$131,"Fully Achieved")</f>
        <v>0</v>
      </c>
      <c r="R5" s="170" t="e">
        <f>Q5/Q16</f>
        <v>#DIV/0!</v>
      </c>
      <c r="S5" s="363" t="e">
        <f>R5+R6</f>
        <v>#DIV/0!</v>
      </c>
      <c r="T5" s="170" t="e">
        <f>Q5/Q17</f>
        <v>#DIV/0!</v>
      </c>
      <c r="U5" s="378" t="e">
        <f>T5+T6</f>
        <v>#DIV/0!</v>
      </c>
      <c r="W5" s="232" t="s">
        <v>52</v>
      </c>
      <c r="X5" s="169">
        <f>COUNTIF('1. All Data'!$V$3:$V$131,"Fully Achieved")</f>
        <v>0</v>
      </c>
      <c r="Y5" s="170" t="e">
        <f t="shared" ref="Y5:Y15" si="0">X5/$X$16</f>
        <v>#DIV/0!</v>
      </c>
      <c r="Z5" s="363" t="e">
        <f>SUM(Y5:Y6)</f>
        <v>#DIV/0!</v>
      </c>
      <c r="AA5" s="170" t="e">
        <f t="shared" ref="AA5:AA11" si="1">X5/$X$17</f>
        <v>#DIV/0!</v>
      </c>
      <c r="AB5" s="378" t="e">
        <f>AA5+AA6</f>
        <v>#DIV/0!</v>
      </c>
      <c r="AD5" s="378" t="e">
        <f>AB5</f>
        <v>#DIV/0!</v>
      </c>
    </row>
    <row r="6" spans="2:31" ht="30.75" customHeight="1">
      <c r="B6" s="232" t="s">
        <v>34</v>
      </c>
      <c r="C6" s="169">
        <f>COUNTIF('1. All Data'!$H$3:$H$131,"On Track to be Achieved")</f>
        <v>75</v>
      </c>
      <c r="D6" s="170">
        <f>C6/C16</f>
        <v>0.58139534883720934</v>
      </c>
      <c r="E6" s="363"/>
      <c r="F6" s="170">
        <f>C6/C17</f>
        <v>0.85227272727272729</v>
      </c>
      <c r="G6" s="378"/>
      <c r="I6" s="232" t="s">
        <v>34</v>
      </c>
      <c r="J6" s="169">
        <f>COUNTIF('1. All Data'!$M$3:$M$133,"On Track to be Achieved")</f>
        <v>70</v>
      </c>
      <c r="K6" s="170">
        <f>J6/J16</f>
        <v>0.54263565891472865</v>
      </c>
      <c r="L6" s="363"/>
      <c r="M6" s="170">
        <f>J6/J17</f>
        <v>0.60869565217391308</v>
      </c>
      <c r="N6" s="378"/>
      <c r="P6" s="232" t="s">
        <v>34</v>
      </c>
      <c r="Q6" s="169">
        <f>COUNTIF('1. All Data'!$R$3:$R$131,"On Track to be Achieved")</f>
        <v>0</v>
      </c>
      <c r="R6" s="170" t="e">
        <f>Q6/Q16</f>
        <v>#DIV/0!</v>
      </c>
      <c r="S6" s="363"/>
      <c r="T6" s="170" t="e">
        <f>Q6/Q17</f>
        <v>#DIV/0!</v>
      </c>
      <c r="U6" s="378"/>
      <c r="W6" s="232" t="s">
        <v>26</v>
      </c>
      <c r="X6" s="169">
        <f>COUNTIF('1. All Data'!$V$3:$V$131,"Numerical Outturn Within 5% Tolerance")</f>
        <v>0</v>
      </c>
      <c r="Y6" s="170" t="e">
        <f t="shared" si="0"/>
        <v>#DIV/0!</v>
      </c>
      <c r="Z6" s="363"/>
      <c r="AA6" s="170" t="e">
        <f t="shared" si="1"/>
        <v>#DIV/0!</v>
      </c>
      <c r="AB6" s="378"/>
      <c r="AD6" s="378"/>
    </row>
    <row r="7" spans="2:31" ht="18.75" customHeight="1">
      <c r="B7" s="366" t="s">
        <v>35</v>
      </c>
      <c r="C7" s="369">
        <f>COUNTIF('1. All Data'!$H$3:$H$131,"In Danger of Falling Behind Target")</f>
        <v>0</v>
      </c>
      <c r="D7" s="372">
        <f>C7/C16</f>
        <v>0</v>
      </c>
      <c r="E7" s="372">
        <f>D7</f>
        <v>0</v>
      </c>
      <c r="F7" s="372">
        <f>C7/C17</f>
        <v>0</v>
      </c>
      <c r="G7" s="375">
        <f>F7</f>
        <v>0</v>
      </c>
      <c r="I7" s="366" t="s">
        <v>35</v>
      </c>
      <c r="J7" s="369">
        <f>COUNTIF('1. All Data'!$M$3:$M$133,"In Danger of Falling Behind Target")</f>
        <v>3</v>
      </c>
      <c r="K7" s="372">
        <f>J7/J16</f>
        <v>2.3255813953488372E-2</v>
      </c>
      <c r="L7" s="372">
        <f>K7</f>
        <v>2.3255813953488372E-2</v>
      </c>
      <c r="M7" s="372">
        <f>J7/J17</f>
        <v>2.6086956521739129E-2</v>
      </c>
      <c r="N7" s="375">
        <f>M7</f>
        <v>2.6086956521739129E-2</v>
      </c>
      <c r="P7" s="366" t="s">
        <v>35</v>
      </c>
      <c r="Q7" s="369">
        <f>COUNTIF('1. All Data'!$R$3:$R$131,"In Danger of Falling Behind Target")</f>
        <v>0</v>
      </c>
      <c r="R7" s="372" t="e">
        <f>Q7/Q16</f>
        <v>#DIV/0!</v>
      </c>
      <c r="S7" s="372" t="e">
        <f>R7</f>
        <v>#DIV/0!</v>
      </c>
      <c r="T7" s="372" t="e">
        <f>Q7/Q17</f>
        <v>#DIV/0!</v>
      </c>
      <c r="U7" s="375" t="e">
        <f>T7</f>
        <v>#DIV/0!</v>
      </c>
      <c r="W7" s="171" t="s">
        <v>27</v>
      </c>
      <c r="X7" s="172">
        <f>COUNTIF('1. All Data'!$V$3:$V$131,"Numerical Outturn Within 10% Tolerance")</f>
        <v>0</v>
      </c>
      <c r="Y7" s="170" t="e">
        <f t="shared" si="0"/>
        <v>#DIV/0!</v>
      </c>
      <c r="Z7" s="363" t="e">
        <f>SUM(Y7:Y9)</f>
        <v>#DIV/0!</v>
      </c>
      <c r="AA7" s="170" t="e">
        <f t="shared" si="1"/>
        <v>#DIV/0!</v>
      </c>
      <c r="AB7" s="364" t="e">
        <f>SUM(AA7:AA9)</f>
        <v>#DIV/0!</v>
      </c>
      <c r="AD7" s="381" t="e">
        <f>SUM(AB7:AB11)</f>
        <v>#DIV/0!</v>
      </c>
    </row>
    <row r="8" spans="2:31" ht="19.5" customHeight="1">
      <c r="B8" s="367"/>
      <c r="C8" s="370"/>
      <c r="D8" s="373"/>
      <c r="E8" s="373"/>
      <c r="F8" s="373"/>
      <c r="G8" s="376"/>
      <c r="I8" s="367"/>
      <c r="J8" s="370"/>
      <c r="K8" s="373"/>
      <c r="L8" s="373"/>
      <c r="M8" s="373"/>
      <c r="N8" s="376"/>
      <c r="P8" s="367"/>
      <c r="Q8" s="370"/>
      <c r="R8" s="373"/>
      <c r="S8" s="373"/>
      <c r="T8" s="373"/>
      <c r="U8" s="376"/>
      <c r="W8" s="171" t="s">
        <v>28</v>
      </c>
      <c r="X8" s="172">
        <f>COUNTIF('1. All Data'!$V$3:$V$131,"Target Partially Met")</f>
        <v>0</v>
      </c>
      <c r="Y8" s="170" t="e">
        <f t="shared" si="0"/>
        <v>#DIV/0!</v>
      </c>
      <c r="Z8" s="363"/>
      <c r="AA8" s="170" t="e">
        <f t="shared" si="1"/>
        <v>#DIV/0!</v>
      </c>
      <c r="AB8" s="364"/>
      <c r="AD8" s="382"/>
    </row>
    <row r="9" spans="2:31" ht="19.5" customHeight="1">
      <c r="B9" s="368"/>
      <c r="C9" s="371"/>
      <c r="D9" s="374"/>
      <c r="E9" s="374"/>
      <c r="F9" s="374"/>
      <c r="G9" s="377"/>
      <c r="I9" s="368"/>
      <c r="J9" s="371"/>
      <c r="K9" s="374"/>
      <c r="L9" s="374"/>
      <c r="M9" s="374"/>
      <c r="N9" s="377"/>
      <c r="P9" s="368"/>
      <c r="Q9" s="371"/>
      <c r="R9" s="374"/>
      <c r="S9" s="374"/>
      <c r="T9" s="374"/>
      <c r="U9" s="377"/>
      <c r="W9" s="171" t="s">
        <v>31</v>
      </c>
      <c r="X9" s="172">
        <f>COUNTIF('1. All Data'!$V$3:$V$131,"Completion Date Within Reasonable Tolerance")</f>
        <v>0</v>
      </c>
      <c r="Y9" s="170" t="e">
        <f t="shared" si="0"/>
        <v>#DIV/0!</v>
      </c>
      <c r="Z9" s="363"/>
      <c r="AA9" s="170" t="e">
        <f t="shared" si="1"/>
        <v>#DIV/0!</v>
      </c>
      <c r="AB9" s="364"/>
      <c r="AD9" s="382"/>
    </row>
    <row r="10" spans="2:31" ht="29.25" customHeight="1">
      <c r="B10" s="173" t="s">
        <v>36</v>
      </c>
      <c r="C10" s="169">
        <f>COUNTIF('1. All Data'!H3:H131,"completed behind schedule")</f>
        <v>0</v>
      </c>
      <c r="D10" s="170">
        <f>C10/C16</f>
        <v>0</v>
      </c>
      <c r="E10" s="363">
        <f>D10+D11</f>
        <v>1.5503875968992248E-2</v>
      </c>
      <c r="F10" s="170">
        <f>C10/C17</f>
        <v>0</v>
      </c>
      <c r="G10" s="365">
        <f>F10+F11</f>
        <v>2.2727272727272728E-2</v>
      </c>
      <c r="I10" s="173" t="s">
        <v>36</v>
      </c>
      <c r="J10" s="169">
        <f>COUNTIF('1. All Data'!M3:M133,"Completed Behind Schedule")</f>
        <v>0</v>
      </c>
      <c r="K10" s="170">
        <f>J10/J16</f>
        <v>0</v>
      </c>
      <c r="L10" s="363">
        <f>K10+K11</f>
        <v>1.5503875968992248E-2</v>
      </c>
      <c r="M10" s="170">
        <f>J10/J17</f>
        <v>0</v>
      </c>
      <c r="N10" s="365">
        <f>M10+M11</f>
        <v>1.7391304347826087E-2</v>
      </c>
      <c r="P10" s="173" t="s">
        <v>36</v>
      </c>
      <c r="Q10" s="169">
        <f>COUNTIF('1. All Data'!R3:R131,"completed behind schedule")</f>
        <v>0</v>
      </c>
      <c r="R10" s="170" t="e">
        <f>Q10/Q16</f>
        <v>#DIV/0!</v>
      </c>
      <c r="S10" s="363" t="e">
        <f>R10+R11</f>
        <v>#DIV/0!</v>
      </c>
      <c r="T10" s="170" t="e">
        <f>Q10/Q17</f>
        <v>#DIV/0!</v>
      </c>
      <c r="U10" s="365" t="e">
        <f>T10+T11</f>
        <v>#DIV/0!</v>
      </c>
      <c r="W10" s="173" t="s">
        <v>30</v>
      </c>
      <c r="X10" s="169">
        <f>COUNTIF('1. All Data'!V3:V131,"Completed Significantly After Target Deadline")</f>
        <v>0</v>
      </c>
      <c r="Y10" s="170" t="e">
        <f t="shared" si="0"/>
        <v>#DIV/0!</v>
      </c>
      <c r="Z10" s="363" t="e">
        <f>SUM(Y10:Y11)</f>
        <v>#DIV/0!</v>
      </c>
      <c r="AA10" s="170" t="e">
        <f t="shared" si="1"/>
        <v>#DIV/0!</v>
      </c>
      <c r="AB10" s="365" t="e">
        <f>SUM(AA10:AA11)</f>
        <v>#DIV/0!</v>
      </c>
      <c r="AD10" s="382"/>
    </row>
    <row r="11" spans="2:31" ht="29.25" customHeight="1">
      <c r="B11" s="173" t="s">
        <v>29</v>
      </c>
      <c r="C11" s="169">
        <f>COUNTIF('1. All Data'!H3:H131,"off target")</f>
        <v>2</v>
      </c>
      <c r="D11" s="170">
        <f>C11/C16</f>
        <v>1.5503875968992248E-2</v>
      </c>
      <c r="E11" s="363"/>
      <c r="F11" s="170">
        <f>C11/C17</f>
        <v>2.2727272727272728E-2</v>
      </c>
      <c r="G11" s="365"/>
      <c r="I11" s="173" t="s">
        <v>29</v>
      </c>
      <c r="J11" s="169">
        <f>COUNTIF('1. All Data'!M3:M133,"Off Target")</f>
        <v>2</v>
      </c>
      <c r="K11" s="170">
        <f>J11/J16</f>
        <v>1.5503875968992248E-2</v>
      </c>
      <c r="L11" s="363"/>
      <c r="M11" s="170">
        <f>J11/J17</f>
        <v>1.7391304347826087E-2</v>
      </c>
      <c r="N11" s="365"/>
      <c r="P11" s="173" t="s">
        <v>29</v>
      </c>
      <c r="Q11" s="169">
        <f>COUNTIF('1. All Data'!R3:R131,"off target")</f>
        <v>0</v>
      </c>
      <c r="R11" s="170" t="e">
        <f>Q11/Q16</f>
        <v>#DIV/0!</v>
      </c>
      <c r="S11" s="363"/>
      <c r="T11" s="170" t="e">
        <f>Q11/Q17</f>
        <v>#DIV/0!</v>
      </c>
      <c r="U11" s="365"/>
      <c r="W11" s="173" t="s">
        <v>29</v>
      </c>
      <c r="X11" s="169">
        <f>COUNTIF('1. All Data'!V3:V131,"off target")</f>
        <v>0</v>
      </c>
      <c r="Y11" s="170" t="e">
        <f t="shared" si="0"/>
        <v>#DIV/0!</v>
      </c>
      <c r="Z11" s="363"/>
      <c r="AA11" s="170" t="e">
        <f t="shared" si="1"/>
        <v>#DIV/0!</v>
      </c>
      <c r="AB11" s="365"/>
      <c r="AD11" s="382"/>
    </row>
    <row r="12" spans="2:31" ht="20.25" customHeight="1">
      <c r="B12" s="174" t="s">
        <v>53</v>
      </c>
      <c r="C12" s="169">
        <f>COUNTIF('1. All Data'!H3:H131,"not yet due")</f>
        <v>41</v>
      </c>
      <c r="D12" s="175">
        <f>C12/C16</f>
        <v>0.31782945736434109</v>
      </c>
      <c r="E12" s="175">
        <f>D12</f>
        <v>0.31782945736434109</v>
      </c>
      <c r="F12" s="176"/>
      <c r="G12" s="59"/>
      <c r="I12" s="174" t="s">
        <v>53</v>
      </c>
      <c r="J12" s="169">
        <f>COUNTIF('1. All Data'!M3:M133,"not yet due")</f>
        <v>14</v>
      </c>
      <c r="K12" s="175">
        <f>J12/J16</f>
        <v>0.10852713178294573</v>
      </c>
      <c r="L12" s="175">
        <f>K12</f>
        <v>0.10852713178294573</v>
      </c>
      <c r="M12" s="176"/>
      <c r="N12" s="59"/>
      <c r="P12" s="174" t="s">
        <v>53</v>
      </c>
      <c r="Q12" s="169">
        <f>COUNTIF('1. All Data'!R3:R115,"not yet due")</f>
        <v>0</v>
      </c>
      <c r="R12" s="175" t="e">
        <f>Q12/Q16</f>
        <v>#DIV/0!</v>
      </c>
      <c r="S12" s="175" t="e">
        <f>R12</f>
        <v>#DIV/0!</v>
      </c>
      <c r="T12" s="176"/>
      <c r="U12" s="59"/>
      <c r="W12" s="174" t="s">
        <v>53</v>
      </c>
      <c r="X12" s="169">
        <f>COUNTIF('1. All Data'!V3:V131,"not yet due")</f>
        <v>0</v>
      </c>
      <c r="Y12" s="170" t="e">
        <f t="shared" si="0"/>
        <v>#DIV/0!</v>
      </c>
      <c r="Z12" s="175" t="e">
        <f>Y12</f>
        <v>#DIV/0!</v>
      </c>
      <c r="AA12" s="176"/>
      <c r="AB12" s="59"/>
    </row>
    <row r="13" spans="2:31" ht="20.25" customHeight="1">
      <c r="B13" s="174" t="s">
        <v>24</v>
      </c>
      <c r="C13" s="169">
        <f>COUNTIF('1. All Data'!H3:H131,"update not provided")</f>
        <v>0</v>
      </c>
      <c r="D13" s="175">
        <f>C13/C16</f>
        <v>0</v>
      </c>
      <c r="E13" s="175">
        <f>D13</f>
        <v>0</v>
      </c>
      <c r="F13" s="176"/>
      <c r="G13" s="2"/>
      <c r="I13" s="174" t="s">
        <v>24</v>
      </c>
      <c r="J13" s="169">
        <f>COUNTIF('1. All Data'!M3:M133,"update not provided")</f>
        <v>0</v>
      </c>
      <c r="K13" s="175">
        <f>J13/J16</f>
        <v>0</v>
      </c>
      <c r="L13" s="175">
        <f>K13</f>
        <v>0</v>
      </c>
      <c r="M13" s="176"/>
      <c r="N13" s="2"/>
      <c r="P13" s="174" t="s">
        <v>24</v>
      </c>
      <c r="Q13" s="169">
        <f>COUNTIF('1. All Data'!R3:R115,"update not provided")</f>
        <v>0</v>
      </c>
      <c r="R13" s="175" t="e">
        <f>Q13/Q16</f>
        <v>#DIV/0!</v>
      </c>
      <c r="S13" s="175" t="e">
        <f>R13</f>
        <v>#DIV/0!</v>
      </c>
      <c r="T13" s="176"/>
      <c r="U13" s="2"/>
      <c r="W13" s="174" t="s">
        <v>24</v>
      </c>
      <c r="X13" s="169">
        <f>COUNTIF('1. All Data'!V3:V131,"update not provided")</f>
        <v>0</v>
      </c>
      <c r="Y13" s="170" t="e">
        <f t="shared" si="0"/>
        <v>#DIV/0!</v>
      </c>
      <c r="Z13" s="175" t="e">
        <f>Y13</f>
        <v>#DIV/0!</v>
      </c>
      <c r="AA13" s="176"/>
      <c r="AB13" s="2"/>
    </row>
    <row r="14" spans="2:31" ht="15.75" customHeight="1">
      <c r="B14" s="177" t="s">
        <v>32</v>
      </c>
      <c r="C14" s="169">
        <f>COUNTIF('1. All Data'!H3:H131,"deferred")</f>
        <v>0</v>
      </c>
      <c r="D14" s="178">
        <f>C14/C16</f>
        <v>0</v>
      </c>
      <c r="E14" s="178">
        <f>D14</f>
        <v>0</v>
      </c>
      <c r="F14" s="179"/>
      <c r="G14" s="59"/>
      <c r="I14" s="177" t="s">
        <v>32</v>
      </c>
      <c r="J14" s="169">
        <f>COUNTIF('1. All Data'!M3:M133,"deferred")</f>
        <v>0</v>
      </c>
      <c r="K14" s="178">
        <f>J14/J16</f>
        <v>0</v>
      </c>
      <c r="L14" s="178">
        <f>K14</f>
        <v>0</v>
      </c>
      <c r="M14" s="179"/>
      <c r="N14" s="59"/>
      <c r="P14" s="177" t="s">
        <v>32</v>
      </c>
      <c r="Q14" s="169">
        <f>COUNTIF('1. All Data'!R3:R115,"deferred")</f>
        <v>0</v>
      </c>
      <c r="R14" s="178" t="e">
        <f>Q14/Q16</f>
        <v>#DIV/0!</v>
      </c>
      <c r="S14" s="178" t="e">
        <f>R14</f>
        <v>#DIV/0!</v>
      </c>
      <c r="T14" s="179"/>
      <c r="U14" s="59"/>
      <c r="W14" s="177" t="s">
        <v>32</v>
      </c>
      <c r="X14" s="169">
        <f>COUNTIF('1. All Data'!V3:V131,"deferred")</f>
        <v>0</v>
      </c>
      <c r="Y14" s="170" t="e">
        <f t="shared" si="0"/>
        <v>#DIV/0!</v>
      </c>
      <c r="Z14" s="175" t="e">
        <f>Y14</f>
        <v>#DIV/0!</v>
      </c>
      <c r="AA14" s="179"/>
      <c r="AB14" s="59"/>
    </row>
    <row r="15" spans="2:31" ht="15.75" customHeight="1">
      <c r="B15" s="177" t="s">
        <v>33</v>
      </c>
      <c r="C15" s="169">
        <f>COUNTIF('1. All Data'!H3:H131,"deleted")</f>
        <v>0</v>
      </c>
      <c r="D15" s="178">
        <f>C15/C16</f>
        <v>0</v>
      </c>
      <c r="E15" s="178">
        <f>D15</f>
        <v>0</v>
      </c>
      <c r="F15" s="179"/>
      <c r="G15" s="3"/>
      <c r="I15" s="177" t="s">
        <v>33</v>
      </c>
      <c r="J15" s="169">
        <f>COUNTIF('1. All Data'!M3:M133,"deleted")</f>
        <v>0</v>
      </c>
      <c r="K15" s="178">
        <f>J15/J16</f>
        <v>0</v>
      </c>
      <c r="L15" s="178">
        <f>K15</f>
        <v>0</v>
      </c>
      <c r="M15" s="179"/>
      <c r="P15" s="177" t="s">
        <v>33</v>
      </c>
      <c r="Q15" s="169">
        <f>COUNTIF('1. All Data'!R3:R115,"deleted")</f>
        <v>0</v>
      </c>
      <c r="R15" s="178" t="e">
        <f>Q15/Q16</f>
        <v>#DIV/0!</v>
      </c>
      <c r="S15" s="178" t="e">
        <f>R15</f>
        <v>#DIV/0!</v>
      </c>
      <c r="T15" s="179"/>
      <c r="U15" s="3"/>
      <c r="W15" s="177" t="s">
        <v>33</v>
      </c>
      <c r="X15" s="169">
        <f>COUNTIF('1. All Data'!V3:V131,"deleted")</f>
        <v>0</v>
      </c>
      <c r="Y15" s="170" t="e">
        <f t="shared" si="0"/>
        <v>#DIV/0!</v>
      </c>
      <c r="Z15" s="175" t="e">
        <f t="shared" ref="Z15" si="2">Y15</f>
        <v>#DIV/0!</v>
      </c>
      <c r="AA15" s="179"/>
      <c r="AB15" s="3"/>
      <c r="AE15" s="3"/>
    </row>
    <row r="16" spans="2:31" ht="15.75" customHeight="1">
      <c r="B16" s="180" t="s">
        <v>55</v>
      </c>
      <c r="C16" s="181">
        <f>SUM(C5:C15)</f>
        <v>129</v>
      </c>
      <c r="D16" s="179"/>
      <c r="E16" s="179"/>
      <c r="F16" s="59"/>
      <c r="G16" s="59"/>
      <c r="I16" s="180" t="s">
        <v>55</v>
      </c>
      <c r="J16" s="181">
        <f>SUM(J5:J15)</f>
        <v>129</v>
      </c>
      <c r="K16" s="179"/>
      <c r="L16" s="179"/>
      <c r="M16" s="59"/>
      <c r="N16" s="59"/>
      <c r="P16" s="180" t="s">
        <v>55</v>
      </c>
      <c r="Q16" s="181">
        <f>SUM(Q5:Q15)</f>
        <v>0</v>
      </c>
      <c r="R16" s="179"/>
      <c r="S16" s="179"/>
      <c r="T16" s="59"/>
      <c r="U16" s="59"/>
      <c r="W16" s="180" t="s">
        <v>55</v>
      </c>
      <c r="X16" s="181">
        <f>SUM(X5:X15)</f>
        <v>0</v>
      </c>
      <c r="Y16" s="179"/>
      <c r="Z16" s="179"/>
      <c r="AA16" s="59"/>
      <c r="AB16" s="59"/>
    </row>
    <row r="17" spans="2:28" ht="15.75" customHeight="1">
      <c r="B17" s="180" t="s">
        <v>56</v>
      </c>
      <c r="C17" s="181">
        <f>C16-C15-C14-C13-C12</f>
        <v>88</v>
      </c>
      <c r="D17" s="59"/>
      <c r="E17" s="59"/>
      <c r="F17" s="59"/>
      <c r="G17" s="59"/>
      <c r="I17" s="180" t="s">
        <v>56</v>
      </c>
      <c r="J17" s="181">
        <f>J16-J15-J14-J13-J12</f>
        <v>115</v>
      </c>
      <c r="K17" s="59"/>
      <c r="L17" s="59"/>
      <c r="M17" s="59"/>
      <c r="N17" s="59"/>
      <c r="P17" s="180" t="s">
        <v>56</v>
      </c>
      <c r="Q17" s="181">
        <f>Q16-Q15-Q14-Q13-Q12</f>
        <v>0</v>
      </c>
      <c r="R17" s="59"/>
      <c r="S17" s="59"/>
      <c r="T17" s="59"/>
      <c r="U17" s="59"/>
      <c r="W17" s="180" t="s">
        <v>56</v>
      </c>
      <c r="X17" s="181">
        <f>X16-X15-X14-X13-X12</f>
        <v>0</v>
      </c>
      <c r="Y17" s="59"/>
      <c r="Z17" s="59"/>
      <c r="AA17" s="59"/>
      <c r="AB17" s="59"/>
    </row>
    <row r="18" spans="2:28" ht="15.75" customHeight="1">
      <c r="W18" s="182"/>
      <c r="AA18" s="2"/>
    </row>
    <row r="19" spans="2:28" ht="15.75" customHeight="1">
      <c r="AA19" s="2"/>
    </row>
    <row r="20" spans="2:28" ht="15" customHeight="1">
      <c r="AA20" s="2"/>
    </row>
    <row r="21" spans="2:28" ht="19.5" customHeight="1">
      <c r="B21" s="184" t="s">
        <v>103</v>
      </c>
      <c r="C21" s="185"/>
      <c r="D21" s="185"/>
      <c r="E21" s="185"/>
      <c r="F21" s="161"/>
      <c r="G21" s="186"/>
      <c r="I21" s="184" t="s">
        <v>103</v>
      </c>
      <c r="J21" s="185"/>
      <c r="K21" s="185"/>
      <c r="L21" s="185"/>
      <c r="M21" s="161"/>
      <c r="N21" s="186"/>
      <c r="P21" s="184" t="s">
        <v>103</v>
      </c>
      <c r="Q21" s="185"/>
      <c r="R21" s="185"/>
      <c r="S21" s="185"/>
      <c r="T21" s="161"/>
      <c r="U21" s="186"/>
      <c r="W21" s="187" t="s">
        <v>89</v>
      </c>
      <c r="X21" s="164"/>
      <c r="Y21" s="164"/>
      <c r="Z21" s="164"/>
      <c r="AA21" s="164"/>
      <c r="AB21" s="165"/>
    </row>
    <row r="22" spans="2:28" ht="42" customHeight="1">
      <c r="B22" s="166" t="s">
        <v>46</v>
      </c>
      <c r="C22" s="166" t="s">
        <v>47</v>
      </c>
      <c r="D22" s="166" t="s">
        <v>48</v>
      </c>
      <c r="E22" s="166" t="s">
        <v>49</v>
      </c>
      <c r="F22" s="166" t="s">
        <v>50</v>
      </c>
      <c r="G22" s="166" t="s">
        <v>51</v>
      </c>
      <c r="I22" s="166" t="s">
        <v>46</v>
      </c>
      <c r="J22" s="166" t="s">
        <v>47</v>
      </c>
      <c r="K22" s="166" t="s">
        <v>48</v>
      </c>
      <c r="L22" s="166" t="s">
        <v>49</v>
      </c>
      <c r="M22" s="166" t="s">
        <v>50</v>
      </c>
      <c r="N22" s="166" t="s">
        <v>51</v>
      </c>
      <c r="P22" s="166" t="s">
        <v>46</v>
      </c>
      <c r="Q22" s="166" t="s">
        <v>47</v>
      </c>
      <c r="R22" s="166" t="s">
        <v>48</v>
      </c>
      <c r="S22" s="166" t="s">
        <v>49</v>
      </c>
      <c r="T22" s="166" t="s">
        <v>50</v>
      </c>
      <c r="U22" s="166" t="s">
        <v>51</v>
      </c>
      <c r="W22" s="166" t="s">
        <v>46</v>
      </c>
      <c r="X22" s="166" t="s">
        <v>47</v>
      </c>
      <c r="Y22" s="166" t="s">
        <v>48</v>
      </c>
      <c r="Z22" s="166" t="s">
        <v>49</v>
      </c>
      <c r="AA22" s="166" t="s">
        <v>50</v>
      </c>
      <c r="AB22" s="166" t="s">
        <v>51</v>
      </c>
    </row>
    <row r="23" spans="2:28" ht="21.75" customHeight="1">
      <c r="B23" s="232" t="s">
        <v>52</v>
      </c>
      <c r="C23" s="169">
        <f>COUNTIFS('1. All Data'!$AA$3:$AA$131,"Value for Money Council",'1. All Data'!$H$3:$H$131,"Fully Achieved")</f>
        <v>2</v>
      </c>
      <c r="D23" s="170">
        <f>C23/C34</f>
        <v>4.878048780487805E-2</v>
      </c>
      <c r="E23" s="363">
        <f>D23+D24</f>
        <v>0.68292682926829273</v>
      </c>
      <c r="F23" s="170">
        <f>C23/C35</f>
        <v>7.1428571428571425E-2</v>
      </c>
      <c r="G23" s="379">
        <f>F23+F24</f>
        <v>1</v>
      </c>
      <c r="I23" s="232" t="s">
        <v>52</v>
      </c>
      <c r="J23" s="169">
        <f>COUNTIFS('1. All Data'!$AA$3:$AA$131,"Value for Money council",'1. All Data'!$M$3:$M$131,"Fully Achieved")</f>
        <v>11</v>
      </c>
      <c r="K23" s="170">
        <f>J23/J34</f>
        <v>0.26829268292682928</v>
      </c>
      <c r="L23" s="363">
        <f>K23+K24</f>
        <v>0.8292682926829269</v>
      </c>
      <c r="M23" s="170">
        <f>J23/J35</f>
        <v>0.29729729729729731</v>
      </c>
      <c r="N23" s="378">
        <f>M23+M24</f>
        <v>0.91891891891891886</v>
      </c>
      <c r="P23" s="232" t="s">
        <v>52</v>
      </c>
      <c r="Q23" s="169">
        <f>COUNTIFS('1. All Data'!$AA$3:$AA$131,"Value for Money council",'1. All Data'!$R$3:$R$131,"Fully Achieved")</f>
        <v>0</v>
      </c>
      <c r="R23" s="170" t="e">
        <f>Q23/Q34</f>
        <v>#DIV/0!</v>
      </c>
      <c r="S23" s="363" t="e">
        <f>R23+R24</f>
        <v>#DIV/0!</v>
      </c>
      <c r="T23" s="170" t="e">
        <f>Q23/Q35</f>
        <v>#DIV/0!</v>
      </c>
      <c r="U23" s="378" t="e">
        <f>T23+T24</f>
        <v>#DIV/0!</v>
      </c>
      <c r="W23" s="232" t="s">
        <v>52</v>
      </c>
      <c r="X23" s="169">
        <f>COUNTIFS('1. All Data'!$AA$3:$AA$131,"Value for Money council",'1. All Data'!$V$3:$V$131,"Fully Achieved")</f>
        <v>0</v>
      </c>
      <c r="Y23" s="170" t="e">
        <f>X23/X34</f>
        <v>#DIV/0!</v>
      </c>
      <c r="Z23" s="363" t="e">
        <f>Y23+Y24</f>
        <v>#DIV/0!</v>
      </c>
      <c r="AA23" s="170" t="e">
        <f>X23/X35</f>
        <v>#DIV/0!</v>
      </c>
      <c r="AB23" s="378" t="e">
        <f>AA23+AA24</f>
        <v>#DIV/0!</v>
      </c>
    </row>
    <row r="24" spans="2:28" ht="18.75" customHeight="1">
      <c r="B24" s="232" t="s">
        <v>34</v>
      </c>
      <c r="C24" s="169">
        <f>COUNTIFS('1. All Data'!$AA$3:$AA$131,"Value for Money Council",'1. All Data'!$H$3:$H$131,"On Track to be achieved")</f>
        <v>26</v>
      </c>
      <c r="D24" s="170">
        <f>C24/C34</f>
        <v>0.63414634146341464</v>
      </c>
      <c r="E24" s="363"/>
      <c r="F24" s="170">
        <f>C24/C35</f>
        <v>0.9285714285714286</v>
      </c>
      <c r="G24" s="380"/>
      <c r="I24" s="232" t="s">
        <v>34</v>
      </c>
      <c r="J24" s="169">
        <f>COUNTIFS('1. All Data'!$AA$3:$AA$131,"Value for Money council",'1. All Data'!$M$3:$M$131,"On Track to be achieved")</f>
        <v>23</v>
      </c>
      <c r="K24" s="170">
        <f>J24/J34</f>
        <v>0.56097560975609762</v>
      </c>
      <c r="L24" s="363"/>
      <c r="M24" s="170">
        <f>J24/J35</f>
        <v>0.6216216216216216</v>
      </c>
      <c r="N24" s="378"/>
      <c r="P24" s="232" t="s">
        <v>34</v>
      </c>
      <c r="Q24" s="169">
        <f>COUNTIFS('1. All Data'!$AA$3:$AA$131,"Value for Money council",'1. All Data'!$R$3:$R$131,"On Track to be achieved")</f>
        <v>0</v>
      </c>
      <c r="R24" s="170" t="e">
        <f>Q24/Q34</f>
        <v>#DIV/0!</v>
      </c>
      <c r="S24" s="363"/>
      <c r="T24" s="170" t="e">
        <f>Q24/Q35</f>
        <v>#DIV/0!</v>
      </c>
      <c r="U24" s="378"/>
      <c r="W24" s="232" t="s">
        <v>26</v>
      </c>
      <c r="X24" s="169">
        <f>COUNTIFS('1. All Data'!$AA$3:$AA$131,"Value for Money council",'1. All Data'!$V$3:$V$131,"Numerical Outturn Within 5% Tolerance")</f>
        <v>0</v>
      </c>
      <c r="Y24" s="170" t="e">
        <f>X24/X34</f>
        <v>#DIV/0!</v>
      </c>
      <c r="Z24" s="363"/>
      <c r="AA24" s="170" t="e">
        <f t="shared" ref="AA24:AA29" si="3">X24/$X$35</f>
        <v>#DIV/0!</v>
      </c>
      <c r="AB24" s="378"/>
    </row>
    <row r="25" spans="2:28" ht="21" customHeight="1">
      <c r="B25" s="366" t="s">
        <v>35</v>
      </c>
      <c r="C25" s="369">
        <f>COUNTIFS('1. All Data'!$AA$3:$AA$131,"Value for Money council",'1. All Data'!$H$3:$H$131,"In Danger of Falling Behind Target")</f>
        <v>0</v>
      </c>
      <c r="D25" s="372">
        <f>C25/C34</f>
        <v>0</v>
      </c>
      <c r="E25" s="372">
        <f>D25</f>
        <v>0</v>
      </c>
      <c r="F25" s="372">
        <f>C25/C35</f>
        <v>0</v>
      </c>
      <c r="G25" s="375">
        <f>F25</f>
        <v>0</v>
      </c>
      <c r="I25" s="366" t="s">
        <v>35</v>
      </c>
      <c r="J25" s="369">
        <f>COUNTIFS('1. All Data'!$AA$3:$AA$131,"Value for Money council",'1. All Data'!$M$3:$M$131,"In Danger of Falling Behind Target")</f>
        <v>3</v>
      </c>
      <c r="K25" s="372">
        <f>J25/J34</f>
        <v>7.3170731707317069E-2</v>
      </c>
      <c r="L25" s="372">
        <f>K25</f>
        <v>7.3170731707317069E-2</v>
      </c>
      <c r="M25" s="372">
        <f>J25/J35</f>
        <v>8.1081081081081086E-2</v>
      </c>
      <c r="N25" s="375">
        <f>M25</f>
        <v>8.1081081081081086E-2</v>
      </c>
      <c r="P25" s="366" t="s">
        <v>35</v>
      </c>
      <c r="Q25" s="369">
        <f>COUNTIFS('1. All Data'!$AA$3:$AA$131,"Value for Money council",'1. All Data'!$R$3:$R$131,"In Danger of Falling Behind Target")</f>
        <v>0</v>
      </c>
      <c r="R25" s="372" t="e">
        <f>Q25/Q34</f>
        <v>#DIV/0!</v>
      </c>
      <c r="S25" s="372" t="e">
        <f>R25</f>
        <v>#DIV/0!</v>
      </c>
      <c r="T25" s="372" t="e">
        <f>Q25/Q35</f>
        <v>#DIV/0!</v>
      </c>
      <c r="U25" s="375" t="e">
        <f>T25</f>
        <v>#DIV/0!</v>
      </c>
      <c r="W25" s="171" t="s">
        <v>27</v>
      </c>
      <c r="X25" s="172">
        <f>COUNTIFS('1. All Data'!$AA$3:$AA$131,"Value for Money council",'1. All Data'!$V$3:$V$131,"Numerical Outturn Within 10% Tolerance")</f>
        <v>0</v>
      </c>
      <c r="Y25" s="170" t="e">
        <f>X25/$X$34</f>
        <v>#DIV/0!</v>
      </c>
      <c r="Z25" s="363" t="e">
        <f>SUM(Y25:Y27)</f>
        <v>#DIV/0!</v>
      </c>
      <c r="AA25" s="170" t="e">
        <f t="shared" si="3"/>
        <v>#DIV/0!</v>
      </c>
      <c r="AB25" s="364" t="e">
        <f>SUM(AA25:AA27)</f>
        <v>#DIV/0!</v>
      </c>
    </row>
    <row r="26" spans="2:28" ht="20.25" customHeight="1">
      <c r="B26" s="367"/>
      <c r="C26" s="370"/>
      <c r="D26" s="373"/>
      <c r="E26" s="373"/>
      <c r="F26" s="373"/>
      <c r="G26" s="376"/>
      <c r="I26" s="367"/>
      <c r="J26" s="370"/>
      <c r="K26" s="373"/>
      <c r="L26" s="373"/>
      <c r="M26" s="373"/>
      <c r="N26" s="376"/>
      <c r="P26" s="367"/>
      <c r="Q26" s="370"/>
      <c r="R26" s="373"/>
      <c r="S26" s="373"/>
      <c r="T26" s="373"/>
      <c r="U26" s="376"/>
      <c r="W26" s="171" t="s">
        <v>28</v>
      </c>
      <c r="X26" s="172">
        <f>COUNTIFS('1. All Data'!$AA$3:$AA$131,"Value for Money council",'1. All Data'!$V$3:$V$131,"Target Partially Met")</f>
        <v>0</v>
      </c>
      <c r="Y26" s="170" t="e">
        <f>X26/$X$34</f>
        <v>#DIV/0!</v>
      </c>
      <c r="Z26" s="363"/>
      <c r="AA26" s="170" t="e">
        <f t="shared" si="3"/>
        <v>#DIV/0!</v>
      </c>
      <c r="AB26" s="364"/>
    </row>
    <row r="27" spans="2:28" ht="18.75" customHeight="1">
      <c r="B27" s="368"/>
      <c r="C27" s="371"/>
      <c r="D27" s="374"/>
      <c r="E27" s="374"/>
      <c r="F27" s="374"/>
      <c r="G27" s="377"/>
      <c r="I27" s="368"/>
      <c r="J27" s="371"/>
      <c r="K27" s="374"/>
      <c r="L27" s="374"/>
      <c r="M27" s="374"/>
      <c r="N27" s="377"/>
      <c r="P27" s="368"/>
      <c r="Q27" s="371"/>
      <c r="R27" s="374"/>
      <c r="S27" s="374"/>
      <c r="T27" s="374"/>
      <c r="U27" s="377"/>
      <c r="W27" s="171" t="s">
        <v>31</v>
      </c>
      <c r="X27" s="172">
        <f>COUNTIFS('1. All Data'!$AA$3:$AA$131,"Value for Money council",'1. All Data'!$V$3:$V$131,"Completion Date Within Reasonable Tolerance")</f>
        <v>0</v>
      </c>
      <c r="Y27" s="170" t="e">
        <f>X27/$X$34</f>
        <v>#DIV/0!</v>
      </c>
      <c r="Z27" s="363"/>
      <c r="AA27" s="170" t="e">
        <f t="shared" si="3"/>
        <v>#DIV/0!</v>
      </c>
      <c r="AB27" s="364"/>
    </row>
    <row r="28" spans="2:28" ht="20.25" customHeight="1">
      <c r="B28" s="173" t="s">
        <v>36</v>
      </c>
      <c r="C28" s="169">
        <f>COUNTIFS('1. All Data'!$AA$3:$AA$131,"Value for Money council",'1. All Data'!$H$3:$H$131,"Completed Behind Schedule")</f>
        <v>0</v>
      </c>
      <c r="D28" s="170">
        <f>C28/C34</f>
        <v>0</v>
      </c>
      <c r="E28" s="363">
        <f>D28+D29</f>
        <v>0</v>
      </c>
      <c r="F28" s="170">
        <f>C28/C35</f>
        <v>0</v>
      </c>
      <c r="G28" s="365">
        <f>F28+F29</f>
        <v>0</v>
      </c>
      <c r="I28" s="173" t="s">
        <v>36</v>
      </c>
      <c r="J28" s="169">
        <f>COUNTIFS('1. All Data'!$AA$3:$AA$131,"Value for Money council",'1. All Data'!$M$3:$M$131,"Completed Behind Schedule")</f>
        <v>0</v>
      </c>
      <c r="K28" s="170">
        <f>J28/J34</f>
        <v>0</v>
      </c>
      <c r="L28" s="363">
        <f>K28+K29</f>
        <v>0</v>
      </c>
      <c r="M28" s="170">
        <f>J28/J35</f>
        <v>0</v>
      </c>
      <c r="N28" s="365">
        <f>M28+M29</f>
        <v>0</v>
      </c>
      <c r="P28" s="173" t="s">
        <v>36</v>
      </c>
      <c r="Q28" s="169">
        <f>COUNTIFS('1. All Data'!$AA$3:$AA$131,"Value for Money council",'1. All Data'!$R$3:$R$131,"Completed Behind Schedule")</f>
        <v>0</v>
      </c>
      <c r="R28" s="170" t="e">
        <f>Q28/Q34</f>
        <v>#DIV/0!</v>
      </c>
      <c r="S28" s="363" t="e">
        <f>R28+R29</f>
        <v>#DIV/0!</v>
      </c>
      <c r="T28" s="170" t="e">
        <f>Q28/Q35</f>
        <v>#DIV/0!</v>
      </c>
      <c r="U28" s="365" t="e">
        <f>T28+T29</f>
        <v>#DIV/0!</v>
      </c>
      <c r="W28" s="173" t="s">
        <v>30</v>
      </c>
      <c r="X28" s="169">
        <f>COUNTIFS('1. All Data'!$AA$3:$AA$131,"Value for Money council",'1. All Data'!$V$3:$V$131,"Completed Significantly After Target Deadline")</f>
        <v>0</v>
      </c>
      <c r="Y28" s="170" t="e">
        <f>X28/$X$34</f>
        <v>#DIV/0!</v>
      </c>
      <c r="Z28" s="363" t="e">
        <f>SUM(Y28:Y29)</f>
        <v>#DIV/0!</v>
      </c>
      <c r="AA28" s="170" t="e">
        <f t="shared" si="3"/>
        <v>#DIV/0!</v>
      </c>
      <c r="AB28" s="365" t="e">
        <f>AA28+AA29</f>
        <v>#DIV/0!</v>
      </c>
    </row>
    <row r="29" spans="2:28" ht="20.25" customHeight="1">
      <c r="B29" s="173" t="s">
        <v>29</v>
      </c>
      <c r="C29" s="169">
        <f>COUNTIFS('1. All Data'!$AA$3:$AA$131,"Value for Money council",'1. All Data'!$H$3:$H$131,"Off Target")</f>
        <v>0</v>
      </c>
      <c r="D29" s="170">
        <f>C29/C34</f>
        <v>0</v>
      </c>
      <c r="E29" s="363"/>
      <c r="F29" s="170">
        <f>C29/C35</f>
        <v>0</v>
      </c>
      <c r="G29" s="365"/>
      <c r="I29" s="173" t="s">
        <v>29</v>
      </c>
      <c r="J29" s="169">
        <f>COUNTIFS('1. All Data'!$AA$3:$AA$131,"Value for Money council",'1. All Data'!$M$3:$M$131,"Off Target")</f>
        <v>0</v>
      </c>
      <c r="K29" s="170">
        <f>J29/J34</f>
        <v>0</v>
      </c>
      <c r="L29" s="363"/>
      <c r="M29" s="170">
        <f>J29/J35</f>
        <v>0</v>
      </c>
      <c r="N29" s="365"/>
      <c r="P29" s="173" t="s">
        <v>29</v>
      </c>
      <c r="Q29" s="169">
        <f>COUNTIFS('1. All Data'!$AA$3:$AA$131,"Value for Money council",'1. All Data'!$R$3:$R$131,"Off Target")</f>
        <v>0</v>
      </c>
      <c r="R29" s="170" t="e">
        <f>Q29/Q34</f>
        <v>#DIV/0!</v>
      </c>
      <c r="S29" s="363"/>
      <c r="T29" s="170" t="e">
        <f>Q29/Q35</f>
        <v>#DIV/0!</v>
      </c>
      <c r="U29" s="365"/>
      <c r="W29" s="173" t="s">
        <v>29</v>
      </c>
      <c r="X29" s="169">
        <f>COUNTIFS('1. All Data'!$AA$3:$AA$131,"Value for Money council",'1. All Data'!$V$3:$V$131,"Off Target")</f>
        <v>0</v>
      </c>
      <c r="Y29" s="170" t="e">
        <f>X29/$X$34</f>
        <v>#DIV/0!</v>
      </c>
      <c r="Z29" s="363"/>
      <c r="AA29" s="170" t="e">
        <f t="shared" si="3"/>
        <v>#DIV/0!</v>
      </c>
      <c r="AB29" s="365"/>
    </row>
    <row r="30" spans="2:28" ht="15" customHeight="1">
      <c r="B30" s="174" t="s">
        <v>53</v>
      </c>
      <c r="C30" s="169">
        <f>COUNTIFS('1. All Data'!$AA$3:$AA$131,"Value for Money council",'1. All Data'!$H$3:$H$131,"Not yet due")</f>
        <v>13</v>
      </c>
      <c r="D30" s="175">
        <f>C30/C34</f>
        <v>0.31707317073170732</v>
      </c>
      <c r="E30" s="175">
        <f>D30</f>
        <v>0.31707317073170732</v>
      </c>
      <c r="F30" s="176"/>
      <c r="G30" s="59"/>
      <c r="I30" s="174" t="s">
        <v>53</v>
      </c>
      <c r="J30" s="169">
        <f>COUNTIFS('1. All Data'!$AA$3:$AA$131,"Value for Money council",'1. All Data'!$M$3:$M$131,"Not yet due")</f>
        <v>4</v>
      </c>
      <c r="K30" s="175">
        <f>J30/J34</f>
        <v>9.7560975609756101E-2</v>
      </c>
      <c r="L30" s="175">
        <f>K30</f>
        <v>9.7560975609756101E-2</v>
      </c>
      <c r="M30" s="176"/>
      <c r="N30" s="59"/>
      <c r="P30" s="174" t="s">
        <v>53</v>
      </c>
      <c r="Q30" s="169">
        <f>COUNTIFS('1. All Data'!$AA$3:$AA$131,"Value for Money council",'1. All Data'!$R$3:$R$131,"Not yet due")</f>
        <v>0</v>
      </c>
      <c r="R30" s="175" t="e">
        <f>Q30/Q34</f>
        <v>#DIV/0!</v>
      </c>
      <c r="S30" s="175" t="e">
        <f>R30</f>
        <v>#DIV/0!</v>
      </c>
      <c r="T30" s="176"/>
      <c r="U30" s="59"/>
      <c r="W30" s="174" t="s">
        <v>53</v>
      </c>
      <c r="X30" s="169">
        <f>COUNTIFS('1. All Data'!$AA$3:$AA$131,"Value for Money council",'1. All Data'!$V$3:$V$131,"Not yet due")</f>
        <v>0</v>
      </c>
      <c r="Y30" s="170" t="e">
        <f t="shared" ref="Y30:Y33" si="4">X30/$X$34</f>
        <v>#DIV/0!</v>
      </c>
      <c r="Z30" s="170" t="e">
        <f>Y30</f>
        <v>#DIV/0!</v>
      </c>
      <c r="AA30" s="176"/>
      <c r="AB30" s="59"/>
    </row>
    <row r="31" spans="2:28" ht="15" customHeight="1">
      <c r="B31" s="174" t="s">
        <v>24</v>
      </c>
      <c r="C31" s="169">
        <f>COUNTIFS('1. All Data'!$AA$3:$AA$131,"Value for Money council",'1. All Data'!$H$3:$H$131,"update not provided")</f>
        <v>0</v>
      </c>
      <c r="D31" s="175">
        <f>C31/C34</f>
        <v>0</v>
      </c>
      <c r="E31" s="175">
        <f>D31</f>
        <v>0</v>
      </c>
      <c r="F31" s="176"/>
      <c r="G31" s="2"/>
      <c r="I31" s="174" t="s">
        <v>24</v>
      </c>
      <c r="J31" s="169">
        <f>COUNTIFS('1. All Data'!$AA$3:$AA$131,"Value for Money council",'1. All Data'!$M$3:$M$131,"update not provided")</f>
        <v>0</v>
      </c>
      <c r="K31" s="175">
        <f>J31/J34</f>
        <v>0</v>
      </c>
      <c r="L31" s="175">
        <f>K31</f>
        <v>0</v>
      </c>
      <c r="M31" s="176"/>
      <c r="N31" s="2"/>
      <c r="P31" s="174" t="s">
        <v>24</v>
      </c>
      <c r="Q31" s="169">
        <f>COUNTIFS('1. All Data'!$AA$3:$AA$131,"Value for Money council",'1. All Data'!$R$3:$R$131,"update not provided")</f>
        <v>0</v>
      </c>
      <c r="R31" s="175" t="e">
        <f>Q31/Q34</f>
        <v>#DIV/0!</v>
      </c>
      <c r="S31" s="175" t="e">
        <f>R31</f>
        <v>#DIV/0!</v>
      </c>
      <c r="T31" s="176"/>
      <c r="U31" s="2"/>
      <c r="W31" s="174" t="s">
        <v>24</v>
      </c>
      <c r="X31" s="169">
        <f>COUNTIFS('1. All Data'!$AA$3:$AA$131,"Value for Money council",'1. All Data'!$V$3:$V$131,"update not provided")</f>
        <v>0</v>
      </c>
      <c r="Y31" s="170" t="e">
        <f t="shared" si="4"/>
        <v>#DIV/0!</v>
      </c>
      <c r="Z31" s="170" t="e">
        <f t="shared" ref="Z31:Z33" si="5">Y31</f>
        <v>#DIV/0!</v>
      </c>
      <c r="AA31" s="176"/>
      <c r="AB31" s="2"/>
    </row>
    <row r="32" spans="2:28" ht="15.75" customHeight="1">
      <c r="B32" s="177" t="s">
        <v>32</v>
      </c>
      <c r="C32" s="169">
        <f>COUNTIFS('1. All Data'!$AA$3:$AA$131,"Value for Money council",'1. All Data'!$H$3:$H$131,"Deferred")</f>
        <v>0</v>
      </c>
      <c r="D32" s="178">
        <f>C32/C34</f>
        <v>0</v>
      </c>
      <c r="E32" s="178">
        <f>D32</f>
        <v>0</v>
      </c>
      <c r="F32" s="179"/>
      <c r="G32" s="59"/>
      <c r="I32" s="177" t="s">
        <v>32</v>
      </c>
      <c r="J32" s="169">
        <f>COUNTIFS('1. All Data'!$AA$3:$AA$131,"Value for Money council",'1. All Data'!$M$3:$M$131,"Deferred")</f>
        <v>0</v>
      </c>
      <c r="K32" s="178">
        <f>J32/J34</f>
        <v>0</v>
      </c>
      <c r="L32" s="178">
        <f>K32</f>
        <v>0</v>
      </c>
      <c r="M32" s="179"/>
      <c r="N32" s="59"/>
      <c r="P32" s="177" t="s">
        <v>32</v>
      </c>
      <c r="Q32" s="169">
        <f>COUNTIFS('1. All Data'!$AA$3:$AA$131,"Value for Money council",'1. All Data'!$R$3:$R$131,"Deferred")</f>
        <v>0</v>
      </c>
      <c r="R32" s="178" t="e">
        <f>Q32/Q34</f>
        <v>#DIV/0!</v>
      </c>
      <c r="S32" s="178" t="e">
        <f>R32</f>
        <v>#DIV/0!</v>
      </c>
      <c r="T32" s="179"/>
      <c r="U32" s="59"/>
      <c r="W32" s="177" t="s">
        <v>32</v>
      </c>
      <c r="X32" s="169">
        <f>COUNTIFS('1. All Data'!$AA$3:$AA$131,"Value for Money8 council",'1. All Data'!$V$3:$V$131,"Deferred")</f>
        <v>0</v>
      </c>
      <c r="Y32" s="170" t="e">
        <f t="shared" si="4"/>
        <v>#DIV/0!</v>
      </c>
      <c r="Z32" s="170" t="e">
        <f t="shared" si="5"/>
        <v>#DIV/0!</v>
      </c>
      <c r="AA32" s="179"/>
      <c r="AB32" s="59"/>
    </row>
    <row r="33" spans="2:30" ht="15.75" customHeight="1">
      <c r="B33" s="177" t="s">
        <v>33</v>
      </c>
      <c r="C33" s="169">
        <f>COUNTIFS('1. All Data'!$AA$3:$AA$131,"Value for Money council",'1. All Data'!$H$3:$H$131,"Deleted")</f>
        <v>0</v>
      </c>
      <c r="D33" s="178">
        <f>C33/C34</f>
        <v>0</v>
      </c>
      <c r="E33" s="178">
        <f>D33</f>
        <v>0</v>
      </c>
      <c r="F33" s="179"/>
      <c r="G33" s="3"/>
      <c r="I33" s="177" t="s">
        <v>33</v>
      </c>
      <c r="J33" s="169">
        <f>COUNTIFS('1. All Data'!$AA$3:$AA$131,"Value for Money council",'1. All Data'!$M$3:$M$131,"Deleted")</f>
        <v>0</v>
      </c>
      <c r="K33" s="178">
        <f>J33/J34</f>
        <v>0</v>
      </c>
      <c r="L33" s="178">
        <f>K33</f>
        <v>0</v>
      </c>
      <c r="M33" s="179"/>
      <c r="N33" s="3"/>
      <c r="P33" s="177" t="s">
        <v>33</v>
      </c>
      <c r="Q33" s="169">
        <f>COUNTIFS('1. All Data'!$AA$3:$AA$131,"Value for Money council",'1. All Data'!$R$3:$R$131,"Deleted")</f>
        <v>0</v>
      </c>
      <c r="R33" s="178" t="e">
        <f>Q33/Q34</f>
        <v>#DIV/0!</v>
      </c>
      <c r="S33" s="178" t="e">
        <f>R33</f>
        <v>#DIV/0!</v>
      </c>
      <c r="T33" s="179"/>
      <c r="U33" s="3"/>
      <c r="W33" s="177" t="s">
        <v>33</v>
      </c>
      <c r="X33" s="169">
        <f>COUNTIFS('1. All Data'!$AA$3:$AA$131,"Value for Money council",'1. All Data'!$V$3:$V$131,"Deleted")</f>
        <v>0</v>
      </c>
      <c r="Y33" s="170" t="e">
        <f t="shared" si="4"/>
        <v>#DIV/0!</v>
      </c>
      <c r="Z33" s="170" t="e">
        <f t="shared" si="5"/>
        <v>#DIV/0!</v>
      </c>
      <c r="AA33" s="179"/>
      <c r="AD33" s="3"/>
    </row>
    <row r="34" spans="2:30" ht="15.75" customHeight="1">
      <c r="B34" s="180" t="s">
        <v>55</v>
      </c>
      <c r="C34" s="181">
        <f>SUM(C23:C33)</f>
        <v>41</v>
      </c>
      <c r="D34" s="179"/>
      <c r="E34" s="179"/>
      <c r="F34" s="59"/>
      <c r="G34" s="59"/>
      <c r="I34" s="180" t="s">
        <v>55</v>
      </c>
      <c r="J34" s="181">
        <f>SUM(J23:J33)</f>
        <v>41</v>
      </c>
      <c r="K34" s="179"/>
      <c r="L34" s="179"/>
      <c r="M34" s="59"/>
      <c r="N34" s="59"/>
      <c r="P34" s="180" t="s">
        <v>55</v>
      </c>
      <c r="Q34" s="181">
        <f>SUM(Q23:Q33)</f>
        <v>0</v>
      </c>
      <c r="R34" s="179"/>
      <c r="S34" s="179"/>
      <c r="T34" s="59"/>
      <c r="U34" s="59"/>
      <c r="W34" s="180" t="s">
        <v>55</v>
      </c>
      <c r="X34" s="181">
        <f>SUM(X23:X33)</f>
        <v>0</v>
      </c>
      <c r="Y34" s="179"/>
      <c r="Z34" s="179"/>
      <c r="AA34" s="59"/>
      <c r="AB34" s="59"/>
    </row>
    <row r="35" spans="2:30" ht="15.75" customHeight="1">
      <c r="B35" s="180" t="s">
        <v>56</v>
      </c>
      <c r="C35" s="181">
        <f>C34-C33-C32-C31-C30</f>
        <v>28</v>
      </c>
      <c r="D35" s="59"/>
      <c r="E35" s="59"/>
      <c r="F35" s="59"/>
      <c r="G35" s="59"/>
      <c r="I35" s="180" t="s">
        <v>56</v>
      </c>
      <c r="J35" s="181">
        <f>J34-J33-J32-J31-J30</f>
        <v>37</v>
      </c>
      <c r="K35" s="59"/>
      <c r="L35" s="59"/>
      <c r="M35" s="59"/>
      <c r="N35" s="59"/>
      <c r="P35" s="180" t="s">
        <v>56</v>
      </c>
      <c r="Q35" s="181">
        <f>Q34-Q33-Q32-Q31-Q30</f>
        <v>0</v>
      </c>
      <c r="R35" s="59"/>
      <c r="S35" s="59"/>
      <c r="T35" s="59"/>
      <c r="U35" s="59"/>
      <c r="W35" s="180" t="s">
        <v>56</v>
      </c>
      <c r="X35" s="181">
        <f>X34-X33-X32-X31-X30</f>
        <v>0</v>
      </c>
      <c r="Y35" s="59"/>
      <c r="Z35" s="59"/>
      <c r="AA35" s="59"/>
      <c r="AB35" s="59"/>
    </row>
    <row r="36" spans="2:30" ht="15.75" customHeight="1">
      <c r="W36" s="188"/>
      <c r="X36" s="167"/>
      <c r="Y36" s="167"/>
      <c r="Z36" s="167"/>
      <c r="AA36" s="59"/>
      <c r="AB36" s="189"/>
    </row>
    <row r="37" spans="2:30" ht="15.75" customHeight="1"/>
    <row r="38" spans="2:30" s="168" customFormat="1" ht="15.75" customHeight="1">
      <c r="B38" s="190"/>
      <c r="C38" s="167"/>
      <c r="D38" s="167"/>
      <c r="E38" s="167"/>
      <c r="F38" s="59"/>
      <c r="G38" s="167"/>
      <c r="H38" s="167"/>
      <c r="I38" s="190"/>
      <c r="J38" s="167"/>
      <c r="K38" s="167"/>
      <c r="L38" s="167"/>
      <c r="M38" s="59"/>
      <c r="N38" s="167"/>
      <c r="O38" s="167"/>
      <c r="P38" s="190"/>
      <c r="Q38" s="167"/>
      <c r="R38" s="167"/>
      <c r="S38" s="167"/>
      <c r="T38" s="59"/>
      <c r="U38" s="167"/>
      <c r="V38" s="167"/>
      <c r="W38" s="167"/>
      <c r="X38" s="167"/>
      <c r="Y38" s="167"/>
      <c r="Z38" s="167"/>
      <c r="AA38" s="167"/>
      <c r="AB38" s="189"/>
    </row>
    <row r="39" spans="2:30" ht="15.75" customHeight="1">
      <c r="B39" s="191" t="s">
        <v>58</v>
      </c>
      <c r="C39" s="192"/>
      <c r="D39" s="192"/>
      <c r="E39" s="192"/>
      <c r="F39" s="193"/>
      <c r="G39" s="194"/>
      <c r="I39" s="191" t="s">
        <v>58</v>
      </c>
      <c r="J39" s="192"/>
      <c r="K39" s="192"/>
      <c r="L39" s="192"/>
      <c r="M39" s="193"/>
      <c r="N39" s="194"/>
      <c r="P39" s="191" t="s">
        <v>58</v>
      </c>
      <c r="Q39" s="192"/>
      <c r="R39" s="192"/>
      <c r="S39" s="192"/>
      <c r="T39" s="193"/>
      <c r="U39" s="194"/>
      <c r="W39" s="191" t="s">
        <v>58</v>
      </c>
      <c r="X39" s="164"/>
      <c r="Y39" s="164"/>
      <c r="Z39" s="164"/>
      <c r="AA39" s="164"/>
      <c r="AB39" s="165"/>
    </row>
    <row r="40" spans="2:30" ht="36" customHeight="1">
      <c r="B40" s="166" t="s">
        <v>46</v>
      </c>
      <c r="C40" s="166" t="s">
        <v>47</v>
      </c>
      <c r="D40" s="166" t="s">
        <v>48</v>
      </c>
      <c r="E40" s="166" t="s">
        <v>49</v>
      </c>
      <c r="F40" s="166" t="s">
        <v>50</v>
      </c>
      <c r="G40" s="166" t="s">
        <v>51</v>
      </c>
      <c r="I40" s="166" t="s">
        <v>46</v>
      </c>
      <c r="J40" s="166" t="s">
        <v>47</v>
      </c>
      <c r="K40" s="166" t="s">
        <v>48</v>
      </c>
      <c r="L40" s="166" t="s">
        <v>49</v>
      </c>
      <c r="M40" s="166" t="s">
        <v>50</v>
      </c>
      <c r="N40" s="166" t="s">
        <v>51</v>
      </c>
      <c r="P40" s="166" t="s">
        <v>46</v>
      </c>
      <c r="Q40" s="166" t="s">
        <v>47</v>
      </c>
      <c r="R40" s="166" t="s">
        <v>48</v>
      </c>
      <c r="S40" s="166" t="s">
        <v>49</v>
      </c>
      <c r="T40" s="166" t="s">
        <v>50</v>
      </c>
      <c r="U40" s="166" t="s">
        <v>51</v>
      </c>
      <c r="W40" s="166" t="s">
        <v>46</v>
      </c>
      <c r="X40" s="166" t="s">
        <v>47</v>
      </c>
      <c r="Y40" s="166" t="s">
        <v>48</v>
      </c>
      <c r="Z40" s="166" t="s">
        <v>49</v>
      </c>
      <c r="AA40" s="166" t="s">
        <v>50</v>
      </c>
      <c r="AB40" s="166" t="s">
        <v>51</v>
      </c>
    </row>
    <row r="41" spans="2:30" ht="18.75" customHeight="1">
      <c r="B41" s="232" t="s">
        <v>52</v>
      </c>
      <c r="C41" s="169">
        <f>COUNTIFS('1. All Data'!$AA$3:$AA$131,"Environment and Health &amp; Wellbeing",'1. All Data'!$H$3:$H$131,"Fully Achieved")</f>
        <v>4</v>
      </c>
      <c r="D41" s="170">
        <f>C41/C52</f>
        <v>8.6956521739130432E-2</v>
      </c>
      <c r="E41" s="363">
        <f>D41+D42</f>
        <v>0.71739130434782616</v>
      </c>
      <c r="F41" s="170">
        <f>C41/C53</f>
        <v>0.12121212121212122</v>
      </c>
      <c r="G41" s="378">
        <f>F41+F42</f>
        <v>1</v>
      </c>
      <c r="I41" s="232" t="s">
        <v>52</v>
      </c>
      <c r="J41" s="169">
        <f>COUNTIFS('1. All Data'!$AA$3:$AA$131,"Environment and Health &amp; Wellbeing",'1. All Data'!$M$3:$M$131,"Fully Achieved")</f>
        <v>14</v>
      </c>
      <c r="K41" s="170">
        <f>J41/J52</f>
        <v>0.30434782608695654</v>
      </c>
      <c r="L41" s="363">
        <f>K41+K42</f>
        <v>0.91304347826086962</v>
      </c>
      <c r="M41" s="170">
        <f>J41/J53</f>
        <v>0.33333333333333331</v>
      </c>
      <c r="N41" s="378">
        <f>M41+M42</f>
        <v>1</v>
      </c>
      <c r="P41" s="232" t="s">
        <v>52</v>
      </c>
      <c r="Q41" s="169">
        <f>COUNTIFS('1. All Data'!$AA$3:$AA$131,"Environment and Health &amp; Wellbeing",'1. All Data'!$R$3:$R$131,"Fully Achieved")</f>
        <v>0</v>
      </c>
      <c r="R41" s="170" t="e">
        <f>Q41/Q52</f>
        <v>#DIV/0!</v>
      </c>
      <c r="S41" s="363" t="e">
        <f>R41+R42</f>
        <v>#DIV/0!</v>
      </c>
      <c r="T41" s="170" t="e">
        <f>Q41/Q53</f>
        <v>#DIV/0!</v>
      </c>
      <c r="U41" s="378" t="e">
        <f>T41+T42</f>
        <v>#DIV/0!</v>
      </c>
      <c r="W41" s="232" t="s">
        <v>52</v>
      </c>
      <c r="X41" s="169">
        <f>COUNTIFS('1. All Data'!$AA$3:$AA$131,"Environment and Health &amp; Wellbeing",'1. All Data'!$V$3:$V$131,"Fully Achieved")</f>
        <v>0</v>
      </c>
      <c r="Y41" s="170" t="e">
        <f>X41/X52</f>
        <v>#DIV/0!</v>
      </c>
      <c r="Z41" s="363" t="e">
        <f>Y41+Y42</f>
        <v>#DIV/0!</v>
      </c>
      <c r="AA41" s="170" t="e">
        <f>X41/X53</f>
        <v>#DIV/0!</v>
      </c>
      <c r="AB41" s="378" t="e">
        <f>AA41+AA42</f>
        <v>#DIV/0!</v>
      </c>
    </row>
    <row r="42" spans="2:30" ht="18.75" customHeight="1">
      <c r="B42" s="232" t="s">
        <v>34</v>
      </c>
      <c r="C42" s="169">
        <f>COUNTIFS('1. All Data'!$AA$3:$AA$131,"Environment and Health &amp; Wellbeing",'1. All Data'!$H$3:$H$131,"On Track to be achieved")</f>
        <v>29</v>
      </c>
      <c r="D42" s="170">
        <f>C42/C52</f>
        <v>0.63043478260869568</v>
      </c>
      <c r="E42" s="363"/>
      <c r="F42" s="170">
        <f>C42/C53</f>
        <v>0.87878787878787878</v>
      </c>
      <c r="G42" s="378"/>
      <c r="I42" s="232" t="s">
        <v>34</v>
      </c>
      <c r="J42" s="169">
        <f>COUNTIFS('1. All Data'!$AA$3:$AA$131,"Environment and Health &amp; Wellbeing",'1. All Data'!$M$3:$M$131,"On Track to be achieved")</f>
        <v>28</v>
      </c>
      <c r="K42" s="170">
        <f>J42/J52</f>
        <v>0.60869565217391308</v>
      </c>
      <c r="L42" s="363"/>
      <c r="M42" s="170">
        <f>J42/J53</f>
        <v>0.66666666666666663</v>
      </c>
      <c r="N42" s="378"/>
      <c r="P42" s="232" t="s">
        <v>34</v>
      </c>
      <c r="Q42" s="169">
        <f>COUNTIFS('1. All Data'!$AA$3:$AA$131,"Environment and Health &amp; Wellbeing",'1. All Data'!$R$3:$R$131,"On Track to be achieved")</f>
        <v>0</v>
      </c>
      <c r="R42" s="170" t="e">
        <f>Q42/Q52</f>
        <v>#DIV/0!</v>
      </c>
      <c r="S42" s="363"/>
      <c r="T42" s="170" t="e">
        <f>Q42/Q53</f>
        <v>#DIV/0!</v>
      </c>
      <c r="U42" s="378"/>
      <c r="W42" s="232" t="s">
        <v>26</v>
      </c>
      <c r="X42" s="169">
        <f>COUNTIFS('1. All Data'!$AA$3:$AA$131,"Environment and Health &amp; Wellbeing",'1. All Data'!$V$3:$V$131,"Numerical Outturn Within 5% Tolerance")</f>
        <v>0</v>
      </c>
      <c r="Y42" s="170" t="e">
        <f>X42/X52</f>
        <v>#DIV/0!</v>
      </c>
      <c r="Z42" s="363"/>
      <c r="AA42" s="170" t="e">
        <f>X42/X53</f>
        <v>#DIV/0!</v>
      </c>
      <c r="AB42" s="378"/>
    </row>
    <row r="43" spans="2:30" ht="19.5" customHeight="1">
      <c r="B43" s="366" t="s">
        <v>35</v>
      </c>
      <c r="C43" s="369">
        <f>COUNTIFS('1. All Data'!$AA$3:$AA$131,"Environment and Health &amp; Wellbeing",'1. All Data'!$H$3:$H$131,"In Danger of Falling Behind Target")</f>
        <v>0</v>
      </c>
      <c r="D43" s="372">
        <f>C43/C52</f>
        <v>0</v>
      </c>
      <c r="E43" s="372">
        <f>D43</f>
        <v>0</v>
      </c>
      <c r="F43" s="372">
        <f>C43/C53</f>
        <v>0</v>
      </c>
      <c r="G43" s="375">
        <f>F43</f>
        <v>0</v>
      </c>
      <c r="I43" s="366" t="s">
        <v>35</v>
      </c>
      <c r="J43" s="369">
        <f>COUNTIFS('1. All Data'!$AA$3:$AA$131,"Environment and Health &amp; Wellbeing",'1. All Data'!$M$3:$M$131,"In Danger of Falling Behind Target")</f>
        <v>0</v>
      </c>
      <c r="K43" s="372">
        <f>J43/J52</f>
        <v>0</v>
      </c>
      <c r="L43" s="372">
        <f>K43</f>
        <v>0</v>
      </c>
      <c r="M43" s="372">
        <f>J43/J53</f>
        <v>0</v>
      </c>
      <c r="N43" s="375">
        <f>M43</f>
        <v>0</v>
      </c>
      <c r="P43" s="366" t="s">
        <v>35</v>
      </c>
      <c r="Q43" s="369">
        <f>COUNTIFS('1. All Data'!$AA$3:$AA$131,"Environment and Health &amp; Wellbeing",'1. All Data'!$R$3:$R$131,"In Danger of Falling Behind Target")</f>
        <v>0</v>
      </c>
      <c r="R43" s="372" t="e">
        <f>Q43/Q52</f>
        <v>#DIV/0!</v>
      </c>
      <c r="S43" s="372" t="e">
        <f>R43</f>
        <v>#DIV/0!</v>
      </c>
      <c r="T43" s="372" t="e">
        <f>Q43/Q53</f>
        <v>#DIV/0!</v>
      </c>
      <c r="U43" s="375" t="e">
        <f>T43</f>
        <v>#DIV/0!</v>
      </c>
      <c r="W43" s="171" t="s">
        <v>27</v>
      </c>
      <c r="X43" s="172">
        <f>COUNTIFS('1. All Data'!$AA$3:$AA$131,"Environment and Health &amp; Wellbeing",'1. All Data'!$V$3:$V$131,"Numerical Outturn Within 10% Tolerance")</f>
        <v>0</v>
      </c>
      <c r="Y43" s="170" t="e">
        <f>X43/X52</f>
        <v>#DIV/0!</v>
      </c>
      <c r="Z43" s="363" t="e">
        <f>SUM(Y43:Y45)</f>
        <v>#DIV/0!</v>
      </c>
      <c r="AA43" s="170" t="e">
        <f>X43/X53</f>
        <v>#DIV/0!</v>
      </c>
      <c r="AB43" s="364" t="e">
        <f>SUM(AA43:AA45)</f>
        <v>#DIV/0!</v>
      </c>
    </row>
    <row r="44" spans="2:30" ht="19.5" customHeight="1">
      <c r="B44" s="367"/>
      <c r="C44" s="370"/>
      <c r="D44" s="373"/>
      <c r="E44" s="373"/>
      <c r="F44" s="373"/>
      <c r="G44" s="376"/>
      <c r="I44" s="367"/>
      <c r="J44" s="370"/>
      <c r="K44" s="373"/>
      <c r="L44" s="373"/>
      <c r="M44" s="373"/>
      <c r="N44" s="376"/>
      <c r="P44" s="367"/>
      <c r="Q44" s="370"/>
      <c r="R44" s="373"/>
      <c r="S44" s="373"/>
      <c r="T44" s="373"/>
      <c r="U44" s="376"/>
      <c r="W44" s="171" t="s">
        <v>28</v>
      </c>
      <c r="X44" s="172">
        <f>COUNTIFS('1. All Data'!$AA$3:$AA$131,"Environment and Health &amp; Wellbeing",'1. All Data'!$V$3:$V$131,"Target Partially Met")</f>
        <v>0</v>
      </c>
      <c r="Y44" s="170" t="e">
        <f>X44/X52</f>
        <v>#DIV/0!</v>
      </c>
      <c r="Z44" s="363"/>
      <c r="AA44" s="170" t="e">
        <f>X44/X53</f>
        <v>#DIV/0!</v>
      </c>
      <c r="AB44" s="364"/>
    </row>
    <row r="45" spans="2:30" ht="19.5" customHeight="1">
      <c r="B45" s="368"/>
      <c r="C45" s="371"/>
      <c r="D45" s="374"/>
      <c r="E45" s="374"/>
      <c r="F45" s="374"/>
      <c r="G45" s="377"/>
      <c r="I45" s="368"/>
      <c r="J45" s="371"/>
      <c r="K45" s="374"/>
      <c r="L45" s="374"/>
      <c r="M45" s="374"/>
      <c r="N45" s="377"/>
      <c r="P45" s="368"/>
      <c r="Q45" s="371"/>
      <c r="R45" s="374"/>
      <c r="S45" s="374"/>
      <c r="T45" s="374"/>
      <c r="U45" s="377"/>
      <c r="W45" s="171" t="s">
        <v>31</v>
      </c>
      <c r="X45" s="172">
        <f>COUNTIFS('1. All Data'!$AA$3:$AA$131,"Environment and Health &amp; Wellbeing",'1. All Data'!$V$3:$V$131,"Completion Date Within Reasonable Tolerance")</f>
        <v>0</v>
      </c>
      <c r="Y45" s="170" t="e">
        <f>X45/X52</f>
        <v>#DIV/0!</v>
      </c>
      <c r="Z45" s="363"/>
      <c r="AA45" s="170" t="e">
        <f>X45/X53</f>
        <v>#DIV/0!</v>
      </c>
      <c r="AB45" s="364"/>
    </row>
    <row r="46" spans="2:30" ht="22.5" customHeight="1">
      <c r="B46" s="173" t="s">
        <v>36</v>
      </c>
      <c r="C46" s="169">
        <f>COUNTIFS('1. All Data'!$AA$3:$AA$131,"Environment and Health &amp; Wellbeing",'1. All Data'!$H$3:$H$131,"Completed Behind Schedule")</f>
        <v>0</v>
      </c>
      <c r="D46" s="170">
        <f>C46/C52</f>
        <v>0</v>
      </c>
      <c r="E46" s="363">
        <f>D46+D47</f>
        <v>0</v>
      </c>
      <c r="F46" s="170">
        <f>C46/C53</f>
        <v>0</v>
      </c>
      <c r="G46" s="365">
        <f>F46+F47</f>
        <v>0</v>
      </c>
      <c r="I46" s="173" t="s">
        <v>36</v>
      </c>
      <c r="J46" s="169">
        <f>COUNTIFS('1. All Data'!$AA$3:$AA$131,"Environment and Health &amp; Wellbeing",'1. All Data'!$M$3:$M$131,"Completed Behind Schedule")</f>
        <v>0</v>
      </c>
      <c r="K46" s="170">
        <f>J46/J52</f>
        <v>0</v>
      </c>
      <c r="L46" s="363">
        <f>K46+K47</f>
        <v>0</v>
      </c>
      <c r="M46" s="170">
        <f>J46/J53</f>
        <v>0</v>
      </c>
      <c r="N46" s="365">
        <f>M46+M47</f>
        <v>0</v>
      </c>
      <c r="P46" s="173" t="s">
        <v>36</v>
      </c>
      <c r="Q46" s="169">
        <f>COUNTIFS('1. All Data'!$AA$3:$AA$131,"Environment and Health &amp; Wellbeing",'1. All Data'!$R$3:$R$131,"Completed Behind Schedule")</f>
        <v>0</v>
      </c>
      <c r="R46" s="170" t="e">
        <f>Q46/Q52</f>
        <v>#DIV/0!</v>
      </c>
      <c r="S46" s="363" t="e">
        <f>R46+R47</f>
        <v>#DIV/0!</v>
      </c>
      <c r="T46" s="170" t="e">
        <f>Q46/Q53</f>
        <v>#DIV/0!</v>
      </c>
      <c r="U46" s="365" t="e">
        <f>T46+T47</f>
        <v>#DIV/0!</v>
      </c>
      <c r="W46" s="173" t="s">
        <v>30</v>
      </c>
      <c r="X46" s="169">
        <f>COUNTIFS('1. All Data'!$AA$3:$AA$131,"Environment and Health &amp; Wellbeing",'1. All Data'!$V$3:$V$131,"Completed Significantly After Target Deadline")</f>
        <v>0</v>
      </c>
      <c r="Y46" s="170" t="e">
        <f>X46/X52</f>
        <v>#DIV/0!</v>
      </c>
      <c r="Z46" s="363" t="e">
        <f>SUM(Y46:Y47)</f>
        <v>#DIV/0!</v>
      </c>
      <c r="AA46" s="170" t="e">
        <f>X46/X53</f>
        <v>#DIV/0!</v>
      </c>
      <c r="AB46" s="365" t="e">
        <f>AA46+AA47</f>
        <v>#DIV/0!</v>
      </c>
    </row>
    <row r="47" spans="2:30" ht="22.5" customHeight="1">
      <c r="B47" s="173" t="s">
        <v>29</v>
      </c>
      <c r="C47" s="169">
        <f>COUNTIFS('1. All Data'!$AA$3:$AA$131,"Environment and Health &amp; Wellbeing",'1. All Data'!$H$3:$H$131,"Off Target")</f>
        <v>0</v>
      </c>
      <c r="D47" s="170">
        <f>C47/C52</f>
        <v>0</v>
      </c>
      <c r="E47" s="363"/>
      <c r="F47" s="170">
        <f>C47/C53</f>
        <v>0</v>
      </c>
      <c r="G47" s="365"/>
      <c r="I47" s="173" t="s">
        <v>29</v>
      </c>
      <c r="J47" s="169">
        <f>COUNTIFS('1. All Data'!$AA$3:$AA$131,"Environment and Health &amp; Wellbeing",'1. All Data'!$M$3:$M$131,"Off Target")</f>
        <v>0</v>
      </c>
      <c r="K47" s="170">
        <f>J47/J52</f>
        <v>0</v>
      </c>
      <c r="L47" s="363"/>
      <c r="M47" s="170">
        <f>J47/J53</f>
        <v>0</v>
      </c>
      <c r="N47" s="365"/>
      <c r="P47" s="173" t="s">
        <v>29</v>
      </c>
      <c r="Q47" s="169">
        <f>COUNTIFS('1. All Data'!$AA$3:$AA$131,"Environment and Health &amp; Wellbeing",'1. All Data'!$R$3:$R$131,"Off Target")</f>
        <v>0</v>
      </c>
      <c r="R47" s="170" t="e">
        <f>Q47/Q52</f>
        <v>#DIV/0!</v>
      </c>
      <c r="S47" s="363"/>
      <c r="T47" s="170" t="e">
        <f>Q47/Q53</f>
        <v>#DIV/0!</v>
      </c>
      <c r="U47" s="365"/>
      <c r="W47" s="173" t="s">
        <v>29</v>
      </c>
      <c r="X47" s="169">
        <f>COUNTIFS('1. All Data'!$AA$3:$AA$131,"Environment and Health &amp; Wellbeing",'1. All Data'!$V$3:$V$131,"Off Target")</f>
        <v>0</v>
      </c>
      <c r="Y47" s="170" t="e">
        <f>X47/X52</f>
        <v>#DIV/0!</v>
      </c>
      <c r="Z47" s="363"/>
      <c r="AA47" s="170" t="e">
        <f>X47/X53</f>
        <v>#DIV/0!</v>
      </c>
      <c r="AB47" s="365"/>
    </row>
    <row r="48" spans="2:30" ht="15.75" customHeight="1">
      <c r="B48" s="174" t="s">
        <v>53</v>
      </c>
      <c r="C48" s="169">
        <f>COUNTIFS('1. All Data'!$AA$3:$AA$131,"Environment and Health &amp; Wellbeing",'1. All Data'!$H$3:$H$131,"Not yet due")</f>
        <v>13</v>
      </c>
      <c r="D48" s="175">
        <f>C48/C52</f>
        <v>0.28260869565217389</v>
      </c>
      <c r="E48" s="175">
        <f>D48</f>
        <v>0.28260869565217389</v>
      </c>
      <c r="F48" s="176"/>
      <c r="G48" s="59"/>
      <c r="I48" s="174" t="s">
        <v>53</v>
      </c>
      <c r="J48" s="169">
        <f>COUNTIFS('1. All Data'!$AA$3:$AA$131,"Environment and Health &amp; Wellbeing",'1. All Data'!$M$3:$M$131,"Not yet due")</f>
        <v>4</v>
      </c>
      <c r="K48" s="175">
        <f>J48/J52</f>
        <v>8.6956521739130432E-2</v>
      </c>
      <c r="L48" s="175">
        <f>K48</f>
        <v>8.6956521739130432E-2</v>
      </c>
      <c r="M48" s="176"/>
      <c r="N48" s="59"/>
      <c r="P48" s="174" t="s">
        <v>53</v>
      </c>
      <c r="Q48" s="169">
        <f>COUNTIFS('1. All Data'!$AA$3:$AA$131,"Environment and Health &amp; Wellbeing",'1. All Data'!$R$3:$R$131,"Not yet due")</f>
        <v>0</v>
      </c>
      <c r="R48" s="175" t="e">
        <f>Q48/Q52</f>
        <v>#DIV/0!</v>
      </c>
      <c r="S48" s="175" t="e">
        <f>R48</f>
        <v>#DIV/0!</v>
      </c>
      <c r="T48" s="176"/>
      <c r="U48" s="59"/>
      <c r="W48" s="174" t="s">
        <v>53</v>
      </c>
      <c r="X48" s="169">
        <f>COUNTIFS('1. All Data'!$AA$3:$AA$131,"Environment and Health &amp; Wellbeing",'1. All Data'!$V$3:$V$131,"Not yet due")</f>
        <v>0</v>
      </c>
      <c r="Y48" s="170" t="e">
        <f>X48/X52</f>
        <v>#DIV/0!</v>
      </c>
      <c r="Z48" s="170" t="e">
        <f>Y48</f>
        <v>#DIV/0!</v>
      </c>
      <c r="AA48" s="176"/>
      <c r="AB48" s="59"/>
    </row>
    <row r="49" spans="2:30" ht="15.75" customHeight="1">
      <c r="B49" s="174" t="s">
        <v>24</v>
      </c>
      <c r="C49" s="169">
        <f>COUNTIFS('1. All Data'!$AA$3:$AA$131,"Environment and Health &amp; Wellbeing",'1. All Data'!$H$3:$H$131,"update not provided")</f>
        <v>0</v>
      </c>
      <c r="D49" s="175">
        <f>C49/C52</f>
        <v>0</v>
      </c>
      <c r="E49" s="175">
        <f>D49</f>
        <v>0</v>
      </c>
      <c r="F49" s="176"/>
      <c r="G49" s="2"/>
      <c r="I49" s="174" t="s">
        <v>24</v>
      </c>
      <c r="J49" s="169">
        <f>COUNTIFS('1. All Data'!$AA$3:$AA$131,"Environment and Health &amp; Wellbeing",'1. All Data'!$M$3:$M$131,"update not provided")</f>
        <v>0</v>
      </c>
      <c r="K49" s="175">
        <f>J49/J52</f>
        <v>0</v>
      </c>
      <c r="L49" s="175">
        <f>K49</f>
        <v>0</v>
      </c>
      <c r="M49" s="176"/>
      <c r="N49" s="2"/>
      <c r="P49" s="174" t="s">
        <v>24</v>
      </c>
      <c r="Q49" s="169">
        <f>COUNTIFS('1. All Data'!$AA$3:$AA$131,"Environment and Health &amp; Wellbeing",'1. All Data'!$R$3:$R$131,"update not provided")</f>
        <v>0</v>
      </c>
      <c r="R49" s="175" t="e">
        <f>Q49/Q52</f>
        <v>#DIV/0!</v>
      </c>
      <c r="S49" s="175" t="e">
        <f>R49</f>
        <v>#DIV/0!</v>
      </c>
      <c r="T49" s="176"/>
      <c r="U49" s="2"/>
      <c r="W49" s="174" t="s">
        <v>24</v>
      </c>
      <c r="X49" s="169">
        <f>COUNTIFS('1. All Data'!$AA$3:$AA$131,"Environment and health &amp; wellbeing",'1. All Data'!$V$3:$V$131,"update not provided")</f>
        <v>0</v>
      </c>
      <c r="Y49" s="170" t="e">
        <f>X49/X52</f>
        <v>#DIV/0!</v>
      </c>
      <c r="Z49" s="170" t="e">
        <f t="shared" ref="Z49:Z51" si="6">Y49</f>
        <v>#DIV/0!</v>
      </c>
      <c r="AA49" s="176"/>
      <c r="AB49" s="2"/>
    </row>
    <row r="50" spans="2:30" ht="15.75" customHeight="1">
      <c r="B50" s="177" t="s">
        <v>32</v>
      </c>
      <c r="C50" s="169">
        <f>COUNTIFS('1. All Data'!$AA$3:$AA$131,"Environment and Health &amp; Wellbeing",'1. All Data'!$H$3:$H$131,"Deferred")</f>
        <v>0</v>
      </c>
      <c r="D50" s="178">
        <f>C50/C52</f>
        <v>0</v>
      </c>
      <c r="E50" s="178">
        <f>D50</f>
        <v>0</v>
      </c>
      <c r="F50" s="179"/>
      <c r="G50" s="59"/>
      <c r="I50" s="177" t="s">
        <v>32</v>
      </c>
      <c r="J50" s="169">
        <f>COUNTIFS('1. All Data'!$AA$3:$AA$131,"Environment and Health &amp; Wellbeing",'1. All Data'!$M$3:$M$131,"Deferred")</f>
        <v>0</v>
      </c>
      <c r="K50" s="178">
        <f>J50/J52</f>
        <v>0</v>
      </c>
      <c r="L50" s="178">
        <f>K50</f>
        <v>0</v>
      </c>
      <c r="M50" s="179"/>
      <c r="N50" s="59"/>
      <c r="P50" s="177" t="s">
        <v>32</v>
      </c>
      <c r="Q50" s="169">
        <f>COUNTIFS('1. All Data'!$AA$3:$AA$131,"Environment and Health &amp; Wellbeing",'1. All Data'!$R$3:$R$131,"Deferred")</f>
        <v>0</v>
      </c>
      <c r="R50" s="178" t="e">
        <f>Q50/Q52</f>
        <v>#DIV/0!</v>
      </c>
      <c r="S50" s="178" t="e">
        <f>R50</f>
        <v>#DIV/0!</v>
      </c>
      <c r="T50" s="179"/>
      <c r="U50" s="59"/>
      <c r="W50" s="177" t="s">
        <v>32</v>
      </c>
      <c r="X50" s="169">
        <f>COUNTIFS('1. All Data'!$AA$3:$AA$131,"Environment and Health &amp; Wellbeing",'1. All Data'!$V$3:$V$131,"Deferred")</f>
        <v>0</v>
      </c>
      <c r="Y50" s="170" t="e">
        <f>X50/X52</f>
        <v>#DIV/0!</v>
      </c>
      <c r="Z50" s="170" t="e">
        <f t="shared" si="6"/>
        <v>#DIV/0!</v>
      </c>
      <c r="AA50" s="179"/>
      <c r="AB50" s="59"/>
    </row>
    <row r="51" spans="2:30" ht="15.75" customHeight="1">
      <c r="B51" s="177" t="s">
        <v>33</v>
      </c>
      <c r="C51" s="195">
        <f>COUNTIFS('1. All Data'!$AA$3:$AA$131,"Environment and Health &amp; Wellbeing",'1. All Data'!$H$3:$H$131,"Deleted")</f>
        <v>0</v>
      </c>
      <c r="D51" s="178">
        <f>C51/C52</f>
        <v>0</v>
      </c>
      <c r="E51" s="178">
        <f>D51</f>
        <v>0</v>
      </c>
      <c r="F51" s="179"/>
      <c r="G51" s="3"/>
      <c r="I51" s="177" t="s">
        <v>33</v>
      </c>
      <c r="J51" s="195">
        <f>COUNTIFS('1. All Data'!$AA$3:$AA$131,"Environment and Health &amp; Wellbeing",'1. All Data'!$M$3:$M$131,"Deleted")</f>
        <v>0</v>
      </c>
      <c r="K51" s="178">
        <f>J51/J52</f>
        <v>0</v>
      </c>
      <c r="L51" s="178">
        <f>K51</f>
        <v>0</v>
      </c>
      <c r="M51" s="179"/>
      <c r="N51" s="3"/>
      <c r="P51" s="177" t="s">
        <v>33</v>
      </c>
      <c r="Q51" s="195">
        <f>COUNTIFS('1. All Data'!$AA$3:$AA$131,"Environment and Health &amp; Wellbeing",'1. All Data'!$R$3:$R$131,"Deleted")</f>
        <v>0</v>
      </c>
      <c r="R51" s="178" t="e">
        <f>Q51/Q52</f>
        <v>#DIV/0!</v>
      </c>
      <c r="S51" s="178" t="e">
        <f>R51</f>
        <v>#DIV/0!</v>
      </c>
      <c r="T51" s="179"/>
      <c r="U51" s="3"/>
      <c r="W51" s="177" t="s">
        <v>33</v>
      </c>
      <c r="X51" s="169">
        <f>COUNTIFS('1. All Data'!$AA$3:$AA$131,"Environment and Health &amp; Wellbeing",'1. All Data'!$V$3:$V$131,"Deleted")</f>
        <v>0</v>
      </c>
      <c r="Y51" s="170" t="e">
        <f>X51/X52</f>
        <v>#DIV/0!</v>
      </c>
      <c r="Z51" s="170" t="e">
        <f t="shared" si="6"/>
        <v>#DIV/0!</v>
      </c>
      <c r="AA51" s="179"/>
      <c r="AD51" s="3"/>
    </row>
    <row r="52" spans="2:30" ht="15.75" customHeight="1">
      <c r="B52" s="196" t="s">
        <v>55</v>
      </c>
      <c r="C52" s="181">
        <f>SUM(C41:C51)</f>
        <v>46</v>
      </c>
      <c r="D52" s="179"/>
      <c r="E52" s="179"/>
      <c r="F52" s="59"/>
      <c r="G52" s="59"/>
      <c r="I52" s="196" t="s">
        <v>55</v>
      </c>
      <c r="J52" s="181">
        <f>SUM(J41:J51)</f>
        <v>46</v>
      </c>
      <c r="K52" s="179"/>
      <c r="L52" s="179"/>
      <c r="M52" s="59"/>
      <c r="N52" s="59"/>
      <c r="P52" s="196" t="s">
        <v>55</v>
      </c>
      <c r="Q52" s="181">
        <f>SUM(Q41:Q51)</f>
        <v>0</v>
      </c>
      <c r="R52" s="179"/>
      <c r="S52" s="179"/>
      <c r="T52" s="59"/>
      <c r="U52" s="59"/>
      <c r="W52" s="180" t="s">
        <v>55</v>
      </c>
      <c r="X52" s="181">
        <f>SUM(X41:X51)</f>
        <v>0</v>
      </c>
      <c r="Y52" s="179"/>
      <c r="Z52" s="179"/>
      <c r="AA52" s="59"/>
      <c r="AB52" s="59"/>
    </row>
    <row r="53" spans="2:30" ht="15.75" customHeight="1">
      <c r="B53" s="196" t="s">
        <v>56</v>
      </c>
      <c r="C53" s="181">
        <f>C52-C51-C50-C49-C48</f>
        <v>33</v>
      </c>
      <c r="D53" s="59"/>
      <c r="E53" s="59"/>
      <c r="F53" s="59"/>
      <c r="G53" s="59"/>
      <c r="I53" s="196" t="s">
        <v>56</v>
      </c>
      <c r="J53" s="181">
        <f>J52-J51-J50-J49-J48</f>
        <v>42</v>
      </c>
      <c r="K53" s="59"/>
      <c r="L53" s="59"/>
      <c r="M53" s="59"/>
      <c r="N53" s="59"/>
      <c r="P53" s="196" t="s">
        <v>56</v>
      </c>
      <c r="Q53" s="181">
        <f>Q52-Q51-Q50-Q49-Q48</f>
        <v>0</v>
      </c>
      <c r="R53" s="59"/>
      <c r="S53" s="59"/>
      <c r="T53" s="59"/>
      <c r="U53" s="59"/>
      <c r="W53" s="180" t="s">
        <v>56</v>
      </c>
      <c r="X53" s="181">
        <f>X52-X51-X50-X49-X48</f>
        <v>0</v>
      </c>
      <c r="Y53" s="59"/>
      <c r="Z53" s="59"/>
      <c r="AA53" s="59"/>
      <c r="AB53" s="59"/>
    </row>
    <row r="54" spans="2:30" ht="15.75" customHeight="1">
      <c r="X54" s="197"/>
    </row>
    <row r="55" spans="2:30" ht="15.75" customHeight="1">
      <c r="X55" s="197"/>
    </row>
    <row r="56" spans="2:30" ht="15.75" customHeight="1">
      <c r="X56" s="197"/>
    </row>
    <row r="57" spans="2:30" ht="15.75" customHeight="1">
      <c r="B57" s="191" t="s">
        <v>59</v>
      </c>
      <c r="C57" s="192"/>
      <c r="D57" s="192"/>
      <c r="E57" s="192"/>
      <c r="F57" s="193"/>
      <c r="G57" s="194"/>
      <c r="I57" s="191" t="s">
        <v>59</v>
      </c>
      <c r="J57" s="192"/>
      <c r="K57" s="192"/>
      <c r="L57" s="192"/>
      <c r="M57" s="193"/>
      <c r="N57" s="194"/>
      <c r="P57" s="191" t="s">
        <v>59</v>
      </c>
      <c r="Q57" s="192"/>
      <c r="R57" s="192"/>
      <c r="S57" s="192"/>
      <c r="T57" s="193"/>
      <c r="U57" s="194"/>
      <c r="W57" s="191" t="s">
        <v>59</v>
      </c>
      <c r="X57" s="198"/>
      <c r="Y57" s="164"/>
      <c r="Z57" s="164"/>
      <c r="AA57" s="164"/>
      <c r="AB57" s="165"/>
    </row>
    <row r="58" spans="2:30" ht="41.25" customHeight="1">
      <c r="B58" s="166" t="s">
        <v>46</v>
      </c>
      <c r="C58" s="166" t="s">
        <v>47</v>
      </c>
      <c r="D58" s="166" t="s">
        <v>48</v>
      </c>
      <c r="E58" s="166" t="s">
        <v>49</v>
      </c>
      <c r="F58" s="166" t="s">
        <v>50</v>
      </c>
      <c r="G58" s="166" t="s">
        <v>51</v>
      </c>
      <c r="I58" s="166" t="s">
        <v>46</v>
      </c>
      <c r="J58" s="166" t="s">
        <v>47</v>
      </c>
      <c r="K58" s="166" t="s">
        <v>48</v>
      </c>
      <c r="L58" s="166" t="s">
        <v>49</v>
      </c>
      <c r="M58" s="166" t="s">
        <v>50</v>
      </c>
      <c r="N58" s="166" t="s">
        <v>51</v>
      </c>
      <c r="P58" s="166" t="s">
        <v>46</v>
      </c>
      <c r="Q58" s="166" t="s">
        <v>47</v>
      </c>
      <c r="R58" s="166" t="s">
        <v>48</v>
      </c>
      <c r="S58" s="166" t="s">
        <v>49</v>
      </c>
      <c r="T58" s="166" t="s">
        <v>50</v>
      </c>
      <c r="U58" s="166" t="s">
        <v>51</v>
      </c>
      <c r="W58" s="166" t="s">
        <v>46</v>
      </c>
      <c r="X58" s="166" t="s">
        <v>47</v>
      </c>
      <c r="Y58" s="166" t="s">
        <v>48</v>
      </c>
      <c r="Z58" s="166" t="s">
        <v>49</v>
      </c>
      <c r="AA58" s="166" t="s">
        <v>50</v>
      </c>
      <c r="AB58" s="166" t="s">
        <v>51</v>
      </c>
    </row>
    <row r="59" spans="2:30" ht="27.75" customHeight="1">
      <c r="B59" s="232" t="s">
        <v>52</v>
      </c>
      <c r="C59" s="169">
        <f>COUNTIFS('1. All Data'!$AA$3:$AA$131,"Community Regeneration",'1. All Data'!$H$3:$H$131,"Fully Achieved")</f>
        <v>5</v>
      </c>
      <c r="D59" s="170">
        <f>C59/C70</f>
        <v>0.11904761904761904</v>
      </c>
      <c r="E59" s="363">
        <f>D59+D60</f>
        <v>0.59523809523809523</v>
      </c>
      <c r="F59" s="170">
        <f>C59/C71</f>
        <v>0.18518518518518517</v>
      </c>
      <c r="G59" s="378">
        <f>F59+F60</f>
        <v>0.92592592592592582</v>
      </c>
      <c r="I59" s="232" t="s">
        <v>52</v>
      </c>
      <c r="J59" s="169">
        <f>COUNTIFS('1. All Data'!$AA$3:$AA$131,"Community Regeneration",'1. All Data'!$M$3:$M$131,"Fully Achieved")</f>
        <v>15</v>
      </c>
      <c r="K59" s="170">
        <f>J59/J70</f>
        <v>0.35714285714285715</v>
      </c>
      <c r="L59" s="363">
        <f>K59+K60</f>
        <v>0.80952380952380953</v>
      </c>
      <c r="M59" s="170">
        <f>J59/J71</f>
        <v>0.41666666666666669</v>
      </c>
      <c r="N59" s="378">
        <f>M59+M60</f>
        <v>0.94444444444444442</v>
      </c>
      <c r="P59" s="232" t="s">
        <v>52</v>
      </c>
      <c r="Q59" s="169">
        <f>COUNTIFS('1. All Data'!$AA$3:$AA$131,"Community Regeneration",'1. All Data'!$R$3:$R$131,"Fully Achieved")</f>
        <v>0</v>
      </c>
      <c r="R59" s="170" t="e">
        <f>Q59/Q70</f>
        <v>#DIV/0!</v>
      </c>
      <c r="S59" s="363" t="e">
        <f>R59+R60</f>
        <v>#DIV/0!</v>
      </c>
      <c r="T59" s="170" t="e">
        <f>Q59/Q71</f>
        <v>#DIV/0!</v>
      </c>
      <c r="U59" s="378" t="e">
        <f>T59+T60</f>
        <v>#DIV/0!</v>
      </c>
      <c r="W59" s="232" t="s">
        <v>52</v>
      </c>
      <c r="X59" s="169">
        <f>COUNTIFS('1. All Data'!$AA$3:$AA$131,"Community Regeneration",'1. All Data'!$V$3:$V$131,"Fully Achieved")</f>
        <v>0</v>
      </c>
      <c r="Y59" s="170" t="e">
        <f>X59/X70</f>
        <v>#DIV/0!</v>
      </c>
      <c r="Z59" s="363" t="e">
        <f>Y59+Y60</f>
        <v>#DIV/0!</v>
      </c>
      <c r="AA59" s="170" t="e">
        <f>X59/X71</f>
        <v>#DIV/0!</v>
      </c>
      <c r="AB59" s="378" t="e">
        <f>AA59+AA60</f>
        <v>#DIV/0!</v>
      </c>
    </row>
    <row r="60" spans="2:30" ht="27.75" customHeight="1">
      <c r="B60" s="232" t="s">
        <v>34</v>
      </c>
      <c r="C60" s="169">
        <f>COUNTIFS('1. All Data'!$AA$3:$AA$131,"Community Regeneration",'1. All Data'!$H$3:$H$131,"On Track to be achieved")</f>
        <v>20</v>
      </c>
      <c r="D60" s="170">
        <f>C60/C70</f>
        <v>0.47619047619047616</v>
      </c>
      <c r="E60" s="363"/>
      <c r="F60" s="170">
        <f>C60/C71</f>
        <v>0.7407407407407407</v>
      </c>
      <c r="G60" s="378"/>
      <c r="I60" s="232" t="s">
        <v>34</v>
      </c>
      <c r="J60" s="169">
        <f>COUNTIFS('1. All Data'!$AA$3:$AA$131,"Community Regeneration",'1. All Data'!$M$3:$M$131,"On Track to be achieved")</f>
        <v>19</v>
      </c>
      <c r="K60" s="170">
        <f>J60/J70</f>
        <v>0.45238095238095238</v>
      </c>
      <c r="L60" s="363"/>
      <c r="M60" s="170">
        <f>J60/J71</f>
        <v>0.52777777777777779</v>
      </c>
      <c r="N60" s="378"/>
      <c r="P60" s="232" t="s">
        <v>34</v>
      </c>
      <c r="Q60" s="169">
        <f>COUNTIFS('1. All Data'!$AA$3:$AA$131,"Community Regeneration",'1. All Data'!$R$3:$R$131,"On Track to be achieved")</f>
        <v>0</v>
      </c>
      <c r="R60" s="170" t="e">
        <f>Q60/Q70</f>
        <v>#DIV/0!</v>
      </c>
      <c r="S60" s="363"/>
      <c r="T60" s="170" t="e">
        <f>Q60/Q71</f>
        <v>#DIV/0!</v>
      </c>
      <c r="U60" s="378"/>
      <c r="W60" s="232" t="s">
        <v>26</v>
      </c>
      <c r="X60" s="169">
        <f>COUNTIFS('1. All Data'!$AA$3:$AA$131,"Community Regeneration",'1. All Data'!$V$3:$V$131,"Numerical Outturn Within 5% Tolerance")</f>
        <v>0</v>
      </c>
      <c r="Y60" s="170" t="e">
        <f>X60/X70</f>
        <v>#DIV/0!</v>
      </c>
      <c r="Z60" s="363"/>
      <c r="AA60" s="170" t="e">
        <f>X60/X71</f>
        <v>#DIV/0!</v>
      </c>
      <c r="AB60" s="378"/>
    </row>
    <row r="61" spans="2:30" ht="18.75" customHeight="1">
      <c r="B61" s="366" t="s">
        <v>35</v>
      </c>
      <c r="C61" s="369">
        <f>COUNTIFS('1. All Data'!$AA$3:$AA$131,"Community Regeneration",'1. All Data'!$H$3:$H$131,"In Danger of Falling Behind Target")</f>
        <v>0</v>
      </c>
      <c r="D61" s="372">
        <f>C61/C70</f>
        <v>0</v>
      </c>
      <c r="E61" s="372">
        <f>D61</f>
        <v>0</v>
      </c>
      <c r="F61" s="372">
        <f>C61/C71</f>
        <v>0</v>
      </c>
      <c r="G61" s="375">
        <f>F61</f>
        <v>0</v>
      </c>
      <c r="I61" s="366" t="s">
        <v>35</v>
      </c>
      <c r="J61" s="369">
        <f>COUNTIFS('1. All Data'!$AA$3:$AA$131,"Community Regeneration",'1. All Data'!$M$3:$M$131,"In Danger of Falling Behind Target")</f>
        <v>0</v>
      </c>
      <c r="K61" s="372">
        <f>J61/J70</f>
        <v>0</v>
      </c>
      <c r="L61" s="372">
        <f>K61</f>
        <v>0</v>
      </c>
      <c r="M61" s="372">
        <f>J61/J71</f>
        <v>0</v>
      </c>
      <c r="N61" s="375">
        <f>M61</f>
        <v>0</v>
      </c>
      <c r="P61" s="366" t="s">
        <v>35</v>
      </c>
      <c r="Q61" s="369">
        <f>COUNTIFS('1. All Data'!$AA$3:$AA$131,"Community Regeneration",'1. All Data'!$R$3:$R$131,"In Danger of Falling Behind Target")</f>
        <v>0</v>
      </c>
      <c r="R61" s="372" t="e">
        <f>Q61/Q70</f>
        <v>#DIV/0!</v>
      </c>
      <c r="S61" s="372" t="e">
        <f>R61</f>
        <v>#DIV/0!</v>
      </c>
      <c r="T61" s="372" t="e">
        <f>Q61/Q71</f>
        <v>#DIV/0!</v>
      </c>
      <c r="U61" s="375" t="e">
        <f>T61</f>
        <v>#DIV/0!</v>
      </c>
      <c r="W61" s="171" t="s">
        <v>27</v>
      </c>
      <c r="X61" s="172">
        <f>COUNTIFS('1. All Data'!$AA$3:$AA$131,"Community Regeneration",'1. All Data'!$V$3:$V$131,"Numerical Outturn Within 10% Tolerance")</f>
        <v>0</v>
      </c>
      <c r="Y61" s="170" t="e">
        <f>X61/$X$34</f>
        <v>#DIV/0!</v>
      </c>
      <c r="Z61" s="363" t="e">
        <f>SUM(Y61:Y63)</f>
        <v>#DIV/0!</v>
      </c>
      <c r="AA61" s="170" t="e">
        <f>X61/X71</f>
        <v>#DIV/0!</v>
      </c>
      <c r="AB61" s="364" t="e">
        <f>SUM(AA61:AA63)</f>
        <v>#DIV/0!</v>
      </c>
    </row>
    <row r="62" spans="2:30" ht="18.75" customHeight="1">
      <c r="B62" s="367"/>
      <c r="C62" s="370"/>
      <c r="D62" s="373"/>
      <c r="E62" s="373"/>
      <c r="F62" s="373"/>
      <c r="G62" s="376"/>
      <c r="I62" s="367"/>
      <c r="J62" s="370"/>
      <c r="K62" s="373"/>
      <c r="L62" s="373"/>
      <c r="M62" s="373"/>
      <c r="N62" s="376"/>
      <c r="P62" s="367"/>
      <c r="Q62" s="370"/>
      <c r="R62" s="373"/>
      <c r="S62" s="373"/>
      <c r="T62" s="373"/>
      <c r="U62" s="376"/>
      <c r="W62" s="171" t="s">
        <v>28</v>
      </c>
      <c r="X62" s="172">
        <f>COUNTIFS('1. All Data'!$AA$3:$AA$131,"Community Regeneration",'1. All Data'!$V$3:$V$131,"Target Partially Met")</f>
        <v>0</v>
      </c>
      <c r="Y62" s="170" t="e">
        <f>X62/$X$34</f>
        <v>#DIV/0!</v>
      </c>
      <c r="Z62" s="363"/>
      <c r="AA62" s="170" t="e">
        <f>X62/X71</f>
        <v>#DIV/0!</v>
      </c>
      <c r="AB62" s="364"/>
    </row>
    <row r="63" spans="2:30" ht="18.75" customHeight="1">
      <c r="B63" s="368"/>
      <c r="C63" s="371"/>
      <c r="D63" s="374"/>
      <c r="E63" s="374"/>
      <c r="F63" s="374"/>
      <c r="G63" s="377"/>
      <c r="I63" s="368"/>
      <c r="J63" s="371"/>
      <c r="K63" s="374"/>
      <c r="L63" s="374"/>
      <c r="M63" s="374"/>
      <c r="N63" s="377"/>
      <c r="P63" s="368"/>
      <c r="Q63" s="371"/>
      <c r="R63" s="374"/>
      <c r="S63" s="374"/>
      <c r="T63" s="374"/>
      <c r="U63" s="377"/>
      <c r="W63" s="171" t="s">
        <v>31</v>
      </c>
      <c r="X63" s="172">
        <f>COUNTIFS('1. All Data'!$AA$3:$AA$131,"Community Regeneration",'1. All Data'!$V$3:$V$131,"Completion Date Within Reasonable Tolerance")</f>
        <v>0</v>
      </c>
      <c r="Y63" s="170" t="e">
        <f>X63/$X$34</f>
        <v>#DIV/0!</v>
      </c>
      <c r="Z63" s="363"/>
      <c r="AA63" s="170" t="e">
        <f>X63/X71</f>
        <v>#DIV/0!</v>
      </c>
      <c r="AB63" s="364"/>
    </row>
    <row r="64" spans="2:30" ht="30" customHeight="1">
      <c r="B64" s="173" t="s">
        <v>36</v>
      </c>
      <c r="C64" s="169">
        <f>COUNTIFS('1. All Data'!$AA$3:$AA$131,"Community Regeneration",'1. All Data'!$H$3:$H$131,"Completed Behind Schedule")</f>
        <v>0</v>
      </c>
      <c r="D64" s="170">
        <f>C64/C70</f>
        <v>0</v>
      </c>
      <c r="E64" s="363">
        <f>D64+D65</f>
        <v>4.7619047619047616E-2</v>
      </c>
      <c r="F64" s="170">
        <f>C64/C71</f>
        <v>0</v>
      </c>
      <c r="G64" s="365">
        <f>F64+F65</f>
        <v>7.407407407407407E-2</v>
      </c>
      <c r="I64" s="173" t="s">
        <v>36</v>
      </c>
      <c r="J64" s="169">
        <f>COUNTIFS('1. All Data'!$AA$3:$AA$131,"Community Regeneration",'1. All Data'!$M$3:$M$131,"Completed Behind Schedule")</f>
        <v>0</v>
      </c>
      <c r="K64" s="170">
        <f>J64/J70</f>
        <v>0</v>
      </c>
      <c r="L64" s="363">
        <f>K64+K65</f>
        <v>4.7619047619047616E-2</v>
      </c>
      <c r="M64" s="170">
        <f>J64/J71</f>
        <v>0</v>
      </c>
      <c r="N64" s="365">
        <f>M64+M65</f>
        <v>5.5555555555555552E-2</v>
      </c>
      <c r="P64" s="173" t="s">
        <v>36</v>
      </c>
      <c r="Q64" s="169">
        <f>COUNTIFS('1. All Data'!$AA$3:$AA$131,"Community Regeneration",'1. All Data'!$R$3:$R$131,"Completed Behind Schedule")</f>
        <v>0</v>
      </c>
      <c r="R64" s="170" t="e">
        <f>Q64/Q70</f>
        <v>#DIV/0!</v>
      </c>
      <c r="S64" s="363" t="e">
        <f>R64+R65</f>
        <v>#DIV/0!</v>
      </c>
      <c r="T64" s="170" t="e">
        <f>Q64/Q71</f>
        <v>#DIV/0!</v>
      </c>
      <c r="U64" s="365" t="e">
        <f>T64+T65</f>
        <v>#DIV/0!</v>
      </c>
      <c r="W64" s="173" t="s">
        <v>30</v>
      </c>
      <c r="X64" s="169">
        <f>COUNTIFS('1. All Data'!$AA$3:$AA$131,"Community Regeneration",'1. All Data'!$V$3:$V$131,"Completed Significantly After Target Deadline")</f>
        <v>0</v>
      </c>
      <c r="Y64" s="170" t="e">
        <f>X64/$X$34</f>
        <v>#DIV/0!</v>
      </c>
      <c r="Z64" s="363" t="e">
        <f>SUM(Y64:Y65)</f>
        <v>#DIV/0!</v>
      </c>
      <c r="AA64" s="170" t="e">
        <f>X64/X71</f>
        <v>#DIV/0!</v>
      </c>
      <c r="AB64" s="365" t="e">
        <f>AA64+AA65</f>
        <v>#DIV/0!</v>
      </c>
    </row>
    <row r="65" spans="2:30" ht="30" customHeight="1">
      <c r="B65" s="173" t="s">
        <v>29</v>
      </c>
      <c r="C65" s="169">
        <f>COUNTIFS('1. All Data'!$AA$3:$AA$131,"Community Regeneration",'1. All Data'!$H$3:$H$131,"Off Target")</f>
        <v>2</v>
      </c>
      <c r="D65" s="170">
        <f>C65/C70</f>
        <v>4.7619047619047616E-2</v>
      </c>
      <c r="E65" s="363"/>
      <c r="F65" s="170">
        <f>C65/C71</f>
        <v>7.407407407407407E-2</v>
      </c>
      <c r="G65" s="365"/>
      <c r="I65" s="173" t="s">
        <v>29</v>
      </c>
      <c r="J65" s="169">
        <f>COUNTIFS('1. All Data'!$AA$3:$AA$131,"Community Regeneration",'1. All Data'!$M$3:$M$131,"Off Target")</f>
        <v>2</v>
      </c>
      <c r="K65" s="170">
        <f>J65/J70</f>
        <v>4.7619047619047616E-2</v>
      </c>
      <c r="L65" s="363"/>
      <c r="M65" s="170">
        <f>J65/J71</f>
        <v>5.5555555555555552E-2</v>
      </c>
      <c r="N65" s="365"/>
      <c r="P65" s="173" t="s">
        <v>29</v>
      </c>
      <c r="Q65" s="169">
        <f>COUNTIFS('1. All Data'!$AA$3:$AA$131,"Community Regeneration",'1. All Data'!$R$3:$R$131,"Off Target")</f>
        <v>0</v>
      </c>
      <c r="R65" s="170" t="e">
        <f>Q65/Q70</f>
        <v>#DIV/0!</v>
      </c>
      <c r="S65" s="363"/>
      <c r="T65" s="170" t="e">
        <f>Q65/Q71</f>
        <v>#DIV/0!</v>
      </c>
      <c r="U65" s="365"/>
      <c r="W65" s="173" t="s">
        <v>29</v>
      </c>
      <c r="X65" s="169">
        <f>COUNTIFS('1. All Data'!$AA$3:$AA$131,"Community Regeneration",'1. All Data'!$V$3:$V$131,"Off Target")</f>
        <v>0</v>
      </c>
      <c r="Y65" s="170" t="e">
        <f>X65/$X$34</f>
        <v>#DIV/0!</v>
      </c>
      <c r="Z65" s="363"/>
      <c r="AA65" s="170" t="e">
        <f>X65/X71</f>
        <v>#DIV/0!</v>
      </c>
      <c r="AB65" s="365"/>
    </row>
    <row r="66" spans="2:30" ht="15.75" customHeight="1">
      <c r="B66" s="174" t="s">
        <v>53</v>
      </c>
      <c r="C66" s="169">
        <f>COUNTIFS('1. All Data'!$AA$3:$AA$131,"Community Regeneration",'1. All Data'!$H$3:$H$131,"Not yet due")</f>
        <v>15</v>
      </c>
      <c r="D66" s="175">
        <f>C66/C70</f>
        <v>0.35714285714285715</v>
      </c>
      <c r="E66" s="175">
        <f>D66</f>
        <v>0.35714285714285715</v>
      </c>
      <c r="F66" s="176"/>
      <c r="G66" s="59"/>
      <c r="I66" s="174" t="s">
        <v>53</v>
      </c>
      <c r="J66" s="169">
        <f>COUNTIFS('1. All Data'!$AA$3:$AA$131,"Community Regeneration",'1. All Data'!$M$3:$M$131,"Not yet due")</f>
        <v>6</v>
      </c>
      <c r="K66" s="175">
        <f>J66/J70</f>
        <v>0.14285714285714285</v>
      </c>
      <c r="L66" s="175">
        <f>K66</f>
        <v>0.14285714285714285</v>
      </c>
      <c r="M66" s="176"/>
      <c r="N66" s="59"/>
      <c r="P66" s="174" t="s">
        <v>53</v>
      </c>
      <c r="Q66" s="169">
        <f>COUNTIFS('1. All Data'!$AA$3:$AA$131,"Community Regeneration",'1. All Data'!$R$3:$R$131,"Not yet due")</f>
        <v>0</v>
      </c>
      <c r="R66" s="175" t="e">
        <f>Q66/Q70</f>
        <v>#DIV/0!</v>
      </c>
      <c r="S66" s="175" t="e">
        <f>R66</f>
        <v>#DIV/0!</v>
      </c>
      <c r="T66" s="176"/>
      <c r="U66" s="59"/>
      <c r="W66" s="174" t="s">
        <v>53</v>
      </c>
      <c r="X66" s="169">
        <f>COUNTIFS('1. All Data'!$AA$3:$AA$131,"Community Regeneration",'1. All Data'!$V$3:$V$131,"Not yet due")</f>
        <v>0</v>
      </c>
      <c r="Y66" s="170" t="e">
        <f t="shared" ref="Y66:Y69" si="7">X66/$X$34</f>
        <v>#DIV/0!</v>
      </c>
      <c r="Z66" s="170" t="e">
        <f>Y66</f>
        <v>#DIV/0!</v>
      </c>
      <c r="AA66" s="176"/>
      <c r="AB66" s="59"/>
    </row>
    <row r="67" spans="2:30" ht="15.75" customHeight="1">
      <c r="B67" s="174" t="s">
        <v>24</v>
      </c>
      <c r="C67" s="169">
        <f>COUNTIFS('1. All Data'!$AA$3:$AA$131,"Community Regeneration",'1. All Data'!$H$3:$H$131,"update not provided")</f>
        <v>0</v>
      </c>
      <c r="D67" s="175">
        <f>C67/C70</f>
        <v>0</v>
      </c>
      <c r="E67" s="175">
        <f>D67</f>
        <v>0</v>
      </c>
      <c r="F67" s="176"/>
      <c r="G67" s="2"/>
      <c r="I67" s="174" t="s">
        <v>24</v>
      </c>
      <c r="J67" s="169">
        <f>COUNTIFS('1. All Data'!$AA$3:$AA$131,"Community Regeneration",'1. All Data'!$M$3:$M$131,"update not provided")</f>
        <v>0</v>
      </c>
      <c r="K67" s="175">
        <f>J67/J70</f>
        <v>0</v>
      </c>
      <c r="L67" s="175">
        <f>K67</f>
        <v>0</v>
      </c>
      <c r="M67" s="176"/>
      <c r="N67" s="2"/>
      <c r="P67" s="174" t="s">
        <v>24</v>
      </c>
      <c r="Q67" s="169">
        <f>COUNTIFS('1. All Data'!$AA$3:$AA$131,"Community Regeneration",'1. All Data'!$R$3:$R$131,"update not provided")</f>
        <v>0</v>
      </c>
      <c r="R67" s="175" t="e">
        <f>Q67/Q70</f>
        <v>#DIV/0!</v>
      </c>
      <c r="S67" s="175" t="e">
        <f>R67</f>
        <v>#DIV/0!</v>
      </c>
      <c r="T67" s="176"/>
      <c r="U67" s="2"/>
      <c r="W67" s="174" t="s">
        <v>24</v>
      </c>
      <c r="X67" s="169">
        <f>COUNTIFS('1. All Data'!$AA$3:$AA$131,"Community Regeneration",'1. All Data'!$V$3:$V$131,"update not provided")</f>
        <v>0</v>
      </c>
      <c r="Y67" s="170" t="e">
        <f t="shared" si="7"/>
        <v>#DIV/0!</v>
      </c>
      <c r="Z67" s="170" t="e">
        <f>Y67</f>
        <v>#DIV/0!</v>
      </c>
      <c r="AA67" s="176"/>
      <c r="AB67" s="2"/>
    </row>
    <row r="68" spans="2:30" ht="15.75" customHeight="1">
      <c r="B68" s="177" t="s">
        <v>32</v>
      </c>
      <c r="C68" s="169">
        <f>COUNTIFS('1. All Data'!$AA$3:$AA$131,"Community Regeneration",'1. All Data'!$H$3:$H$131,"Deferred")</f>
        <v>0</v>
      </c>
      <c r="D68" s="178">
        <f>C68/C70</f>
        <v>0</v>
      </c>
      <c r="E68" s="178">
        <f>D68</f>
        <v>0</v>
      </c>
      <c r="F68" s="179"/>
      <c r="G68" s="59"/>
      <c r="I68" s="177" t="s">
        <v>32</v>
      </c>
      <c r="J68" s="169">
        <f>COUNTIFS('1. All Data'!$AA$3:$AA$131,"Community Regeneration",'1. All Data'!$M$3:$M$131,"Deferred")</f>
        <v>0</v>
      </c>
      <c r="K68" s="178">
        <f>J68/J70</f>
        <v>0</v>
      </c>
      <c r="L68" s="178">
        <f>K68</f>
        <v>0</v>
      </c>
      <c r="M68" s="179"/>
      <c r="N68" s="59"/>
      <c r="P68" s="177" t="s">
        <v>32</v>
      </c>
      <c r="Q68" s="169">
        <f>COUNTIFS('1. All Data'!$AA$3:$AA$131,"Community Regeneration",'1. All Data'!$R$3:$R$131,"Deferred")</f>
        <v>0</v>
      </c>
      <c r="R68" s="178" t="e">
        <f>Q68/Q70</f>
        <v>#DIV/0!</v>
      </c>
      <c r="S68" s="178" t="e">
        <f>R68</f>
        <v>#DIV/0!</v>
      </c>
      <c r="T68" s="179"/>
      <c r="U68" s="59"/>
      <c r="W68" s="177" t="s">
        <v>32</v>
      </c>
      <c r="X68" s="169">
        <f>COUNTIFS('1. All Data'!$AA$3:$AA$131,"Community Regeneration",'1. All Data'!$V$3:$V$131,"Deferred")</f>
        <v>0</v>
      </c>
      <c r="Y68" s="170" t="e">
        <f t="shared" si="7"/>
        <v>#DIV/0!</v>
      </c>
      <c r="Z68" s="170" t="e">
        <f t="shared" ref="Z68:Z69" si="8">Y68</f>
        <v>#DIV/0!</v>
      </c>
      <c r="AA68" s="179"/>
      <c r="AB68" s="59"/>
    </row>
    <row r="69" spans="2:30" ht="15.75" customHeight="1">
      <c r="B69" s="177" t="s">
        <v>33</v>
      </c>
      <c r="C69" s="169">
        <f>COUNTIFS('1. All Data'!$AA$3:$AA$131,"Community Regeneration",'1. All Data'!$H$3:$H$131,"Deleted")</f>
        <v>0</v>
      </c>
      <c r="D69" s="178">
        <f>C69/C70</f>
        <v>0</v>
      </c>
      <c r="E69" s="178">
        <f>D69</f>
        <v>0</v>
      </c>
      <c r="F69" s="179"/>
      <c r="G69" s="3"/>
      <c r="I69" s="177" t="s">
        <v>33</v>
      </c>
      <c r="J69" s="169">
        <f>COUNTIFS('1. All Data'!$AA$3:$AA$131,"Community Regeneration",'1. All Data'!$M$3:$M$131,"Deleted")</f>
        <v>0</v>
      </c>
      <c r="K69" s="178">
        <f>J69/J70</f>
        <v>0</v>
      </c>
      <c r="L69" s="178">
        <f>K69</f>
        <v>0</v>
      </c>
      <c r="M69" s="179"/>
      <c r="N69" s="3"/>
      <c r="P69" s="177" t="s">
        <v>33</v>
      </c>
      <c r="Q69" s="169">
        <f>COUNTIFS('1. All Data'!$AA$3:$AA$131,"Community Regeneration",'1. All Data'!$R$3:$R$131,"Deleted")</f>
        <v>0</v>
      </c>
      <c r="R69" s="178" t="e">
        <f>Q69/Q70</f>
        <v>#DIV/0!</v>
      </c>
      <c r="S69" s="178" t="e">
        <f>R69</f>
        <v>#DIV/0!</v>
      </c>
      <c r="T69" s="179"/>
      <c r="U69" s="3"/>
      <c r="W69" s="177" t="s">
        <v>33</v>
      </c>
      <c r="X69" s="169">
        <f>COUNTIFS('1. All Data'!$AA$3:$AA$131,"Community Regeneration",'1. All Data'!$V$3:$V$131,"Deleted")</f>
        <v>0</v>
      </c>
      <c r="Y69" s="170" t="e">
        <f t="shared" si="7"/>
        <v>#DIV/0!</v>
      </c>
      <c r="Z69" s="170" t="e">
        <f t="shared" si="8"/>
        <v>#DIV/0!</v>
      </c>
      <c r="AA69" s="179"/>
      <c r="AD69" s="3"/>
    </row>
    <row r="70" spans="2:30" ht="15.75" customHeight="1">
      <c r="B70" s="196" t="s">
        <v>55</v>
      </c>
      <c r="C70" s="181">
        <f>SUM(C59:C69)</f>
        <v>42</v>
      </c>
      <c r="D70" s="179"/>
      <c r="E70" s="179"/>
      <c r="F70" s="59"/>
      <c r="G70" s="59"/>
      <c r="I70" s="196" t="s">
        <v>55</v>
      </c>
      <c r="J70" s="181">
        <f>SUM(J59:J69)</f>
        <v>42</v>
      </c>
      <c r="K70" s="179"/>
      <c r="L70" s="179"/>
      <c r="M70" s="59"/>
      <c r="N70" s="59"/>
      <c r="P70" s="196" t="s">
        <v>55</v>
      </c>
      <c r="Q70" s="181">
        <f>SUM(Q59:Q69)</f>
        <v>0</v>
      </c>
      <c r="R70" s="179"/>
      <c r="S70" s="179"/>
      <c r="T70" s="59"/>
      <c r="U70" s="59"/>
      <c r="W70" s="180" t="s">
        <v>55</v>
      </c>
      <c r="X70" s="181">
        <f>SUM(X59:X69)</f>
        <v>0</v>
      </c>
      <c r="Y70" s="179"/>
      <c r="Z70" s="179"/>
      <c r="AA70" s="59"/>
      <c r="AB70" s="59"/>
    </row>
    <row r="71" spans="2:30" ht="15.75" customHeight="1">
      <c r="B71" s="196" t="s">
        <v>56</v>
      </c>
      <c r="C71" s="181">
        <f>C70-C69-C68-C67-C66</f>
        <v>27</v>
      </c>
      <c r="D71" s="59"/>
      <c r="E71" s="59"/>
      <c r="F71" s="59"/>
      <c r="G71" s="59"/>
      <c r="I71" s="196" t="s">
        <v>56</v>
      </c>
      <c r="J71" s="181">
        <f>J70-J69-J68-J67-J66</f>
        <v>36</v>
      </c>
      <c r="K71" s="59"/>
      <c r="L71" s="59"/>
      <c r="M71" s="59"/>
      <c r="N71" s="59"/>
      <c r="P71" s="196" t="s">
        <v>56</v>
      </c>
      <c r="Q71" s="181">
        <f>Q70-Q69-Q68-Q67-Q66</f>
        <v>0</v>
      </c>
      <c r="R71" s="59"/>
      <c r="S71" s="59"/>
      <c r="T71" s="59"/>
      <c r="U71" s="59"/>
      <c r="W71" s="180" t="s">
        <v>56</v>
      </c>
      <c r="X71" s="181">
        <f>X70-X69-X68-X67-X66</f>
        <v>0</v>
      </c>
      <c r="Y71" s="59"/>
      <c r="Z71" s="59"/>
      <c r="AA71" s="59"/>
      <c r="AB71" s="59"/>
    </row>
    <row r="72" spans="2:30" ht="15.75" customHeight="1">
      <c r="AB72" s="189"/>
    </row>
    <row r="73" spans="2:30" ht="15.75" customHeight="1">
      <c r="AB73" s="189"/>
    </row>
  </sheetData>
  <sheetProtection algorithmName="SHA-512" hashValue="lJGnlgJn+J+G08ybGurlpo+XN8OuSZx9PcdezY66JkI26BsHtUtT+69rPavoG+iDwyLmmOKUUiesQ2a8WhlNcg==" saltValue="St6yg+kJRcnddkqzqjSzoA==" spinCount="100000" sheet="1" objects="1" scenarios="1"/>
  <mergeCells count="146">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23622047244094491" right="0.23622047244094491" top="0.74803149606299213" bottom="0.74803149606299213" header="0.31496062992125984" footer="0.31496062992125984"/>
  <pageSetup paperSize="9" scale="82" fitToHeight="0" orientation="portrait" verticalDpi="0" r:id="rId1"/>
  <rowBreaks count="1" manualBreakCount="1">
    <brk id="37" max="16383" man="1"/>
  </rowBreaks>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6"/>
  <sheetViews>
    <sheetView workbookViewId="0"/>
  </sheetViews>
  <sheetFormatPr defaultColWidth="9.33203125" defaultRowHeight="14.4"/>
  <cols>
    <col min="1" max="1" width="3.44140625" style="9" customWidth="1"/>
    <col min="2" max="9" width="9.33203125" style="9"/>
    <col min="10" max="10" width="3.44140625" style="9" customWidth="1"/>
    <col min="11" max="11" width="9.33203125" style="10"/>
    <col min="12" max="18" width="9.33203125" style="9"/>
    <col min="19" max="19" width="3.44140625" style="9" customWidth="1"/>
    <col min="20" max="27" width="9.33203125" style="9" customWidth="1"/>
    <col min="28" max="28" width="3.44140625" style="9" customWidth="1"/>
    <col min="29" max="36" width="9.33203125" style="9" customWidth="1"/>
    <col min="37" max="37" width="3.44140625" style="9" customWidth="1"/>
    <col min="38" max="47" width="9.33203125" style="9" customWidth="1"/>
    <col min="48" max="50" width="0" style="9" hidden="1" customWidth="1"/>
    <col min="51" max="51" width="9.33203125" style="9"/>
    <col min="52" max="55" width="10" style="12" customWidth="1"/>
    <col min="56" max="16384" width="9.33203125" style="9"/>
  </cols>
  <sheetData>
    <row r="1" spans="2:56" s="6" customFormat="1" ht="36" thickTop="1">
      <c r="B1" s="5" t="s">
        <v>60</v>
      </c>
      <c r="M1" s="383" t="s">
        <v>61</v>
      </c>
      <c r="N1" s="384"/>
      <c r="O1" s="384"/>
      <c r="P1" s="384"/>
      <c r="Q1" s="384"/>
      <c r="R1" s="384"/>
      <c r="S1" s="384"/>
      <c r="T1" s="384"/>
      <c r="U1" s="384"/>
      <c r="V1" s="384"/>
      <c r="W1" s="384"/>
      <c r="X1" s="384"/>
      <c r="Y1" s="384"/>
      <c r="Z1" s="385"/>
      <c r="AZ1" s="7"/>
      <c r="BA1" s="7"/>
      <c r="BB1" s="7"/>
      <c r="BC1" s="7"/>
    </row>
    <row r="2" spans="2:56" s="6" customFormat="1" ht="35.4">
      <c r="B2" s="8"/>
      <c r="M2" s="386"/>
      <c r="N2" s="387"/>
      <c r="O2" s="387"/>
      <c r="P2" s="387"/>
      <c r="Q2" s="387"/>
      <c r="R2" s="387"/>
      <c r="S2" s="387"/>
      <c r="T2" s="387"/>
      <c r="U2" s="387"/>
      <c r="V2" s="387"/>
      <c r="W2" s="387"/>
      <c r="X2" s="387"/>
      <c r="Y2" s="387"/>
      <c r="Z2" s="388"/>
      <c r="AZ2" s="7"/>
      <c r="BA2" s="7"/>
      <c r="BB2" s="7"/>
      <c r="BC2" s="7"/>
    </row>
    <row r="3" spans="2:56" s="6" customFormat="1" ht="36" thickBot="1">
      <c r="M3" s="389"/>
      <c r="N3" s="390"/>
      <c r="O3" s="390"/>
      <c r="P3" s="390"/>
      <c r="Q3" s="390"/>
      <c r="R3" s="390"/>
      <c r="S3" s="390"/>
      <c r="T3" s="390"/>
      <c r="U3" s="390"/>
      <c r="V3" s="390"/>
      <c r="W3" s="390"/>
      <c r="X3" s="390"/>
      <c r="Y3" s="390"/>
      <c r="Z3" s="391"/>
      <c r="AZ3" s="7"/>
      <c r="BA3" s="7"/>
      <c r="BB3" s="7"/>
      <c r="BC3" s="7"/>
    </row>
    <row r="4" spans="2:56" ht="15" thickTop="1">
      <c r="N4" s="11"/>
      <c r="W4" s="11"/>
      <c r="AF4" s="11"/>
      <c r="AO4" s="11"/>
    </row>
    <row r="5" spans="2:56">
      <c r="AY5" s="17" t="s">
        <v>62</v>
      </c>
      <c r="AZ5" s="18"/>
      <c r="BA5" s="18"/>
      <c r="BB5" s="18"/>
      <c r="BC5" s="18"/>
      <c r="BD5" s="10"/>
    </row>
    <row r="6" spans="2:56">
      <c r="AY6" s="19"/>
      <c r="AZ6" s="20" t="s">
        <v>16</v>
      </c>
      <c r="BA6" s="20" t="s">
        <v>17</v>
      </c>
      <c r="BB6" s="20" t="s">
        <v>18</v>
      </c>
      <c r="BC6" s="20" t="s">
        <v>15</v>
      </c>
      <c r="BD6" s="10"/>
    </row>
    <row r="7" spans="2:56">
      <c r="AY7" s="21" t="s">
        <v>63</v>
      </c>
      <c r="AZ7" s="22">
        <f>'2a. % By Priority'!G5</f>
        <v>0.97727272727272729</v>
      </c>
      <c r="BA7" s="22">
        <f>'2a. % By Priority'!N5</f>
        <v>0.95652173913043481</v>
      </c>
      <c r="BB7" s="22" t="e">
        <f>'2a. % By Priority'!U5</f>
        <v>#DIV/0!</v>
      </c>
      <c r="BC7" s="22" t="e">
        <f>'2a. % By Priority'!AB5</f>
        <v>#DIV/0!</v>
      </c>
      <c r="BD7" s="10"/>
    </row>
    <row r="8" spans="2:56">
      <c r="L8" s="14"/>
      <c r="M8" s="14"/>
      <c r="AY8" s="21" t="s">
        <v>64</v>
      </c>
      <c r="AZ8" s="22">
        <f>'2a. % By Priority'!G7</f>
        <v>0</v>
      </c>
      <c r="BA8" s="22">
        <f>'2a. % By Priority'!N7</f>
        <v>2.6086956521739129E-2</v>
      </c>
      <c r="BB8" s="22" t="e">
        <f>'2a. % By Priority'!U7</f>
        <v>#DIV/0!</v>
      </c>
      <c r="BC8" s="22" t="e">
        <f>'2a. % By Priority'!AB7</f>
        <v>#DIV/0!</v>
      </c>
      <c r="BD8" s="10"/>
    </row>
    <row r="9" spans="2:56">
      <c r="L9" s="14"/>
      <c r="M9" s="14"/>
      <c r="AY9" s="21" t="s">
        <v>65</v>
      </c>
      <c r="AZ9" s="22">
        <f>'2a. % By Priority'!G10</f>
        <v>2.2727272727272728E-2</v>
      </c>
      <c r="BA9" s="22">
        <f>'2a. % By Priority'!N10</f>
        <v>1.7391304347826087E-2</v>
      </c>
      <c r="BB9" s="22" t="e">
        <f>'2a. % By Priority'!U10</f>
        <v>#DIV/0!</v>
      </c>
      <c r="BC9" s="22" t="e">
        <f>'2a. % By Priority'!AB10</f>
        <v>#DIV/0!</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c r="W20" s="11"/>
      <c r="AF20" s="11"/>
      <c r="AO20" s="11"/>
      <c r="AY20" s="27"/>
      <c r="AZ20" s="18"/>
      <c r="BA20" s="18"/>
      <c r="BB20" s="18"/>
      <c r="BC20" s="18"/>
      <c r="BD20" s="10"/>
    </row>
    <row r="21" spans="12:56">
      <c r="AY21" s="17" t="s">
        <v>57</v>
      </c>
      <c r="AZ21" s="18"/>
      <c r="BA21" s="18"/>
      <c r="BB21" s="18"/>
      <c r="BC21" s="18"/>
      <c r="BD21" s="10"/>
    </row>
    <row r="22" spans="12:56">
      <c r="AY22" s="19"/>
      <c r="AZ22" s="20" t="s">
        <v>16</v>
      </c>
      <c r="BA22" s="20" t="s">
        <v>17</v>
      </c>
      <c r="BB22" s="20" t="s">
        <v>18</v>
      </c>
      <c r="BC22" s="20" t="s">
        <v>15</v>
      </c>
      <c r="BD22" s="10"/>
    </row>
    <row r="23" spans="12:56">
      <c r="AY23" s="21" t="s">
        <v>63</v>
      </c>
      <c r="AZ23" s="22">
        <f>'2a. % By Priority'!G23</f>
        <v>1</v>
      </c>
      <c r="BA23" s="22">
        <f>'2a. % By Priority'!N23</f>
        <v>0.91891891891891886</v>
      </c>
      <c r="BB23" s="22" t="e">
        <f>'2a. % By Priority'!U23</f>
        <v>#DIV/0!</v>
      </c>
      <c r="BC23" s="22" t="e">
        <f>'2a. % By Priority'!AB23</f>
        <v>#DIV/0!</v>
      </c>
      <c r="BD23" s="10"/>
    </row>
    <row r="24" spans="12:56">
      <c r="L24" s="14"/>
      <c r="M24" s="14"/>
      <c r="AY24" s="21" t="s">
        <v>64</v>
      </c>
      <c r="AZ24" s="22">
        <f>'2a. % By Priority'!G25</f>
        <v>0</v>
      </c>
      <c r="BA24" s="22">
        <f>'2a. % By Priority'!N25</f>
        <v>8.1081081081081086E-2</v>
      </c>
      <c r="BB24" s="22" t="e">
        <f>'2a. % By Priority'!U25</f>
        <v>#DIV/0!</v>
      </c>
      <c r="BC24" s="22" t="e">
        <f>'2a. % By Priority'!AB25</f>
        <v>#DIV/0!</v>
      </c>
      <c r="BD24" s="10"/>
    </row>
    <row r="25" spans="12:56">
      <c r="L25" s="14"/>
      <c r="M25" s="14"/>
      <c r="AY25" s="21" t="s">
        <v>65</v>
      </c>
      <c r="AZ25" s="22">
        <f>'2a. % By Priority'!G28</f>
        <v>0</v>
      </c>
      <c r="BA25" s="22">
        <f>'2a. % By Priority'!N28</f>
        <v>0</v>
      </c>
      <c r="BB25" s="22" t="e">
        <f>'2a. % By Priority'!U28</f>
        <v>#DIV/0!</v>
      </c>
      <c r="BC25" s="22" t="e">
        <f>'2a. % By Priority'!AB28</f>
        <v>#DIV/0!</v>
      </c>
      <c r="BD25" s="10"/>
    </row>
    <row r="26" spans="12:56">
      <c r="L26" s="14"/>
      <c r="M26" s="14"/>
      <c r="AY26" s="27"/>
      <c r="AZ26" s="18"/>
      <c r="BA26" s="18"/>
      <c r="BB26" s="18"/>
      <c r="BC26" s="18"/>
      <c r="BD26" s="10"/>
    </row>
    <row r="27" spans="12:56">
      <c r="AY27" s="24"/>
      <c r="AZ27" s="18"/>
      <c r="BA27" s="18"/>
      <c r="BB27" s="18"/>
      <c r="BC27" s="18"/>
      <c r="BD27" s="10"/>
    </row>
    <row r="28" spans="12:56">
      <c r="AY28" s="24"/>
      <c r="AZ28" s="18"/>
      <c r="BA28" s="18"/>
      <c r="BB28" s="18"/>
      <c r="BC28" s="18"/>
      <c r="BD28" s="10"/>
    </row>
    <row r="29" spans="12:56">
      <c r="AY29" s="24"/>
      <c r="AZ29" s="18"/>
      <c r="BA29" s="18"/>
      <c r="BB29" s="18"/>
      <c r="BC29" s="18"/>
      <c r="BD29" s="10"/>
    </row>
    <row r="30" spans="12:56">
      <c r="AY30" s="27"/>
      <c r="AZ30" s="18"/>
      <c r="BA30" s="18"/>
      <c r="BB30" s="18"/>
      <c r="BC30" s="18"/>
      <c r="BD30" s="10"/>
    </row>
    <row r="31" spans="12:56">
      <c r="AY31" s="27"/>
      <c r="AZ31" s="18"/>
      <c r="BA31" s="18"/>
      <c r="BB31" s="18"/>
      <c r="BC31" s="18"/>
      <c r="BD31" s="10"/>
    </row>
    <row r="32" spans="12:56">
      <c r="AY32" s="27"/>
      <c r="AZ32" s="18"/>
      <c r="BA32" s="18"/>
      <c r="BB32" s="18"/>
      <c r="BC32" s="18"/>
      <c r="BD32" s="10"/>
    </row>
    <row r="33" spans="11:56">
      <c r="AY33" s="27"/>
      <c r="AZ33" s="18"/>
      <c r="BA33" s="18"/>
      <c r="BB33" s="18"/>
      <c r="BC33" s="18"/>
      <c r="BD33" s="10"/>
    </row>
    <row r="34" spans="11:56">
      <c r="AY34" s="27"/>
      <c r="AZ34" s="18"/>
      <c r="BA34" s="18"/>
      <c r="BB34" s="18"/>
      <c r="BC34" s="18"/>
      <c r="BD34" s="10"/>
    </row>
    <row r="35" spans="11:56">
      <c r="AY35" s="27"/>
      <c r="AZ35" s="18"/>
      <c r="BA35" s="18"/>
      <c r="BB35" s="18"/>
      <c r="BC35" s="18"/>
      <c r="BD35" s="10"/>
    </row>
    <row r="36" spans="11:56">
      <c r="N36" s="11"/>
      <c r="W36" s="11"/>
      <c r="AF36" s="11"/>
      <c r="AO36" s="11"/>
      <c r="AY36" s="27"/>
      <c r="AZ36" s="18"/>
      <c r="BA36" s="18"/>
      <c r="BB36" s="18"/>
      <c r="BC36" s="18"/>
      <c r="BD36" s="10"/>
    </row>
    <row r="37" spans="11:56">
      <c r="AY37" s="17" t="s">
        <v>58</v>
      </c>
      <c r="AZ37" s="28"/>
      <c r="BA37" s="28"/>
      <c r="BB37" s="28"/>
      <c r="BC37" s="28"/>
      <c r="BD37" s="16"/>
    </row>
    <row r="38" spans="11:56">
      <c r="AY38" s="29"/>
      <c r="AZ38" s="20" t="s">
        <v>16</v>
      </c>
      <c r="BA38" s="20" t="s">
        <v>17</v>
      </c>
      <c r="BB38" s="20" t="s">
        <v>18</v>
      </c>
      <c r="BC38" s="20" t="s">
        <v>15</v>
      </c>
      <c r="BD38" s="16"/>
    </row>
    <row r="39" spans="11:56">
      <c r="AY39" s="21" t="s">
        <v>63</v>
      </c>
      <c r="AZ39" s="22">
        <f>'2a. % By Priority'!G41</f>
        <v>1</v>
      </c>
      <c r="BA39" s="22">
        <f>'2a. % By Priority'!N41</f>
        <v>1</v>
      </c>
      <c r="BB39" s="22" t="e">
        <f>'2a. % By Priority'!U41</f>
        <v>#DIV/0!</v>
      </c>
      <c r="BC39" s="22" t="e">
        <f>'2a. % By Priority'!AB41</f>
        <v>#DIV/0!</v>
      </c>
      <c r="BD39" s="16"/>
    </row>
    <row r="40" spans="11:56">
      <c r="K40" s="14"/>
      <c r="L40" s="14"/>
      <c r="AY40" s="21" t="s">
        <v>64</v>
      </c>
      <c r="AZ40" s="22">
        <f>'2a. % By Priority'!G43</f>
        <v>0</v>
      </c>
      <c r="BA40" s="22">
        <f>'2a. % By Priority'!N43</f>
        <v>0</v>
      </c>
      <c r="BB40" s="22" t="e">
        <f>'2a. % By Priority'!U43</f>
        <v>#DIV/0!</v>
      </c>
      <c r="BC40" s="22" t="e">
        <f>'2a. % By Priority'!AB43</f>
        <v>#DIV/0!</v>
      </c>
      <c r="BD40" s="16"/>
    </row>
    <row r="41" spans="11:56">
      <c r="K41" s="14"/>
      <c r="L41" s="14"/>
      <c r="AY41" s="21" t="s">
        <v>65</v>
      </c>
      <c r="AZ41" s="22">
        <f>'2a. % By Priority'!G46</f>
        <v>0</v>
      </c>
      <c r="BA41" s="22">
        <f>'2a. % By Priority'!N46</f>
        <v>0</v>
      </c>
      <c r="BB41" s="22" t="e">
        <f>'2a. % By Priority'!U46</f>
        <v>#DIV/0!</v>
      </c>
      <c r="BC41" s="22" t="e">
        <f>'2a. % By Priority'!AB46</f>
        <v>#DIV/0!</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c r="W52" s="11"/>
      <c r="AF52" s="11"/>
      <c r="AP52" s="11"/>
      <c r="AY52" s="27"/>
      <c r="AZ52" s="18"/>
      <c r="BA52" s="18"/>
      <c r="BB52" s="18"/>
      <c r="BC52" s="18"/>
      <c r="BD52" s="10"/>
    </row>
    <row r="53" spans="12:56">
      <c r="AY53" s="17" t="s">
        <v>59</v>
      </c>
      <c r="AZ53" s="28"/>
      <c r="BA53" s="28"/>
      <c r="BB53" s="28"/>
      <c r="BC53" s="28"/>
      <c r="BD53" s="10"/>
    </row>
    <row r="54" spans="12:56">
      <c r="AY54" s="29"/>
      <c r="AZ54" s="20" t="s">
        <v>16</v>
      </c>
      <c r="BA54" s="20" t="s">
        <v>17</v>
      </c>
      <c r="BB54" s="20" t="s">
        <v>18</v>
      </c>
      <c r="BC54" s="20" t="s">
        <v>15</v>
      </c>
      <c r="BD54" s="10"/>
    </row>
    <row r="55" spans="12:56">
      <c r="AY55" s="21" t="s">
        <v>63</v>
      </c>
      <c r="AZ55" s="22">
        <f>'2a. % By Priority'!G59</f>
        <v>0.92592592592592582</v>
      </c>
      <c r="BA55" s="22">
        <f>'2a. % By Priority'!N59</f>
        <v>0.94444444444444442</v>
      </c>
      <c r="BB55" s="22" t="e">
        <f>'2a. % By Priority'!U59</f>
        <v>#DIV/0!</v>
      </c>
      <c r="BC55" s="22" t="e">
        <f>'2a. % By Priority'!AB59</f>
        <v>#DIV/0!</v>
      </c>
      <c r="BD55" s="10"/>
    </row>
    <row r="56" spans="12:56">
      <c r="L56" s="14"/>
      <c r="M56" s="14"/>
      <c r="AY56" s="21" t="s">
        <v>64</v>
      </c>
      <c r="AZ56" s="22">
        <f>'2a. % By Priority'!G61</f>
        <v>0</v>
      </c>
      <c r="BA56" s="22">
        <f>'2a. % By Priority'!N61</f>
        <v>0</v>
      </c>
      <c r="BB56" s="22" t="e">
        <f>'2a. % By Priority'!U61</f>
        <v>#DIV/0!</v>
      </c>
      <c r="BC56" s="22" t="e">
        <f>'2a. % By Priority'!AB61</f>
        <v>#DIV/0!</v>
      </c>
      <c r="BD56" s="10"/>
    </row>
    <row r="57" spans="12:56">
      <c r="L57" s="14"/>
      <c r="M57" s="14"/>
      <c r="AY57" s="21" t="s">
        <v>65</v>
      </c>
      <c r="AZ57" s="22">
        <f>'2a. % By Priority'!G64</f>
        <v>7.407407407407407E-2</v>
      </c>
      <c r="BA57" s="22">
        <f>'2a. % By Priority'!N64</f>
        <v>5.5555555555555552E-2</v>
      </c>
      <c r="BB57" s="22" t="e">
        <f>'2a. % By Priority'!U64</f>
        <v>#DIV/0!</v>
      </c>
      <c r="BC57" s="22" t="e">
        <f>'2a. % By Priority'!AB64</f>
        <v>#DIV/0!</v>
      </c>
      <c r="BD57" s="10"/>
    </row>
    <row r="58" spans="12:56">
      <c r="L58" s="14"/>
      <c r="M58" s="14"/>
      <c r="AY58" s="10"/>
      <c r="AZ58" s="13"/>
      <c r="BA58" s="13"/>
      <c r="BB58" s="13"/>
      <c r="BC58" s="13"/>
      <c r="BD58" s="10"/>
    </row>
    <row r="59" spans="12:56">
      <c r="AY59" s="15"/>
      <c r="AZ59" s="13"/>
      <c r="BA59" s="13"/>
      <c r="BB59" s="13"/>
      <c r="BC59" s="13"/>
      <c r="BD59" s="10"/>
    </row>
    <row r="60" spans="12:56">
      <c r="AY60" s="15"/>
      <c r="AZ60" s="13"/>
      <c r="BA60" s="13"/>
      <c r="BB60" s="13"/>
      <c r="BC60" s="13"/>
      <c r="BD60" s="10"/>
    </row>
    <row r="61" spans="12:56">
      <c r="AY61" s="15"/>
      <c r="AZ61" s="13"/>
      <c r="BA61" s="13"/>
      <c r="BB61" s="13"/>
      <c r="BC61" s="13"/>
      <c r="BD61" s="10"/>
    </row>
    <row r="62" spans="12:56">
      <c r="AY62" s="10"/>
      <c r="AZ62" s="13"/>
      <c r="BA62" s="13"/>
      <c r="BB62" s="13"/>
      <c r="BC62" s="13"/>
      <c r="BD62" s="10"/>
    </row>
    <row r="63" spans="12:56">
      <c r="AY63" s="10"/>
      <c r="AZ63" s="13"/>
      <c r="BA63" s="13"/>
      <c r="BB63" s="13"/>
      <c r="BC63" s="13"/>
      <c r="BD63" s="10"/>
    </row>
    <row r="64" spans="12:56">
      <c r="AY64" s="10"/>
      <c r="AZ64" s="13"/>
      <c r="BA64" s="13"/>
      <c r="BB64" s="13"/>
      <c r="BC64" s="13"/>
      <c r="BD64" s="10"/>
    </row>
    <row r="65" spans="51:56">
      <c r="AY65" s="10"/>
      <c r="AZ65" s="13"/>
      <c r="BA65" s="13"/>
      <c r="BB65" s="13"/>
      <c r="BC65" s="13"/>
      <c r="BD65" s="10"/>
    </row>
    <row r="66" spans="51:56">
      <c r="AY66" s="10"/>
      <c r="AZ66" s="13"/>
      <c r="BA66" s="13"/>
      <c r="BB66" s="13"/>
      <c r="BC66" s="13"/>
      <c r="BD66" s="10"/>
    </row>
  </sheetData>
  <sheetProtection algorithmName="SHA-512" hashValue="3YjMwSX8UkJYiYMOIFiJZ2/k/9FbMwz0Objaes6i9qkImS7vvHiA3rMC4MNSfcWjnm7LIEeVi6QMbh1UxQ9+0w==" saltValue="FBtOBOGoNybC0a2ND+uEuQ==" spinCount="100000" sheet="1" objects="1" scenarios="1"/>
  <mergeCells count="1">
    <mergeCell ref="M1:Z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B1" zoomScale="90" zoomScaleNormal="90" workbookViewId="0">
      <selection activeCell="G7" sqref="G7:G9"/>
    </sheetView>
  </sheetViews>
  <sheetFormatPr defaultColWidth="9.33203125" defaultRowHeight="13.8"/>
  <cols>
    <col min="1" max="1" width="3.44140625" style="159" hidden="1" customWidth="1"/>
    <col min="2" max="2" width="52.33203125" style="159" bestFit="1" customWidth="1"/>
    <col min="3" max="3" width="12.33203125" style="156" bestFit="1" customWidth="1"/>
    <col min="4" max="4" width="11.6640625" style="156" bestFit="1" customWidth="1"/>
    <col min="5" max="5" width="15" style="156" bestFit="1" customWidth="1"/>
    <col min="6" max="6" width="11.6640625" style="159" bestFit="1" customWidth="1"/>
    <col min="7" max="7" width="16.6640625" style="156" bestFit="1" customWidth="1"/>
    <col min="8" max="8" width="4.5546875" style="159" customWidth="1"/>
    <col min="9" max="9" width="51.33203125" style="159" customWidth="1"/>
    <col min="10" max="10" width="12.33203125" style="156" customWidth="1"/>
    <col min="11" max="11" width="11.6640625" style="156" customWidth="1"/>
    <col min="12" max="12" width="15" style="156" customWidth="1"/>
    <col min="13" max="13" width="11.6640625" style="159" customWidth="1"/>
    <col min="14" max="14" width="16.6640625" style="156" customWidth="1"/>
    <col min="15" max="15" width="4.5546875" style="159" customWidth="1"/>
    <col min="16" max="16" width="52.5546875" style="159" hidden="1" customWidth="1"/>
    <col min="17" max="17" width="12.33203125" style="156" hidden="1" customWidth="1"/>
    <col min="18" max="18" width="11.6640625" style="156" hidden="1" customWidth="1"/>
    <col min="19" max="19" width="15" style="156" hidden="1" customWidth="1"/>
    <col min="20" max="20" width="11.6640625" style="159" hidden="1" customWidth="1"/>
    <col min="21" max="21" width="16.6640625" style="156" hidden="1" customWidth="1"/>
    <col min="22" max="22" width="4.5546875" style="159" customWidth="1"/>
    <col min="23" max="23" width="51.6640625" style="156" hidden="1" customWidth="1"/>
    <col min="24" max="24" width="12.33203125" style="156" hidden="1" customWidth="1"/>
    <col min="25" max="25" width="20.44140625" style="156" hidden="1" customWidth="1"/>
    <col min="26" max="26" width="15" style="156" hidden="1" customWidth="1"/>
    <col min="27" max="27" width="11.6640625" style="156" hidden="1" customWidth="1"/>
    <col min="28" max="28" width="16.6640625" style="183" hidden="1" customWidth="1"/>
    <col min="29" max="29" width="9.33203125" style="159" customWidth="1"/>
    <col min="30" max="16384" width="9.33203125" style="159"/>
  </cols>
  <sheetData>
    <row r="1" spans="2:30" s="153" customFormat="1" ht="21">
      <c r="B1" s="199" t="s">
        <v>471</v>
      </c>
      <c r="C1" s="200"/>
      <c r="D1" s="201"/>
      <c r="E1" s="201"/>
      <c r="F1" s="202"/>
      <c r="G1" s="201"/>
      <c r="I1" s="199" t="s">
        <v>472</v>
      </c>
      <c r="J1" s="200"/>
      <c r="K1" s="201"/>
      <c r="L1" s="201"/>
      <c r="M1" s="202"/>
      <c r="N1" s="201"/>
      <c r="P1" s="199" t="s">
        <v>473</v>
      </c>
      <c r="Q1" s="200"/>
      <c r="R1" s="201"/>
      <c r="S1" s="201"/>
      <c r="T1" s="202"/>
      <c r="U1" s="201"/>
      <c r="W1" s="203" t="s">
        <v>474</v>
      </c>
      <c r="X1" s="204"/>
      <c r="Y1" s="204"/>
      <c r="Z1" s="204"/>
      <c r="AA1" s="204"/>
      <c r="AB1" s="205"/>
    </row>
    <row r="2" spans="2:30" ht="15.6">
      <c r="B2" s="154"/>
      <c r="C2" s="155"/>
      <c r="D2" s="155"/>
      <c r="E2" s="155"/>
      <c r="F2" s="154"/>
      <c r="G2" s="155"/>
      <c r="I2" s="154"/>
      <c r="J2" s="155"/>
      <c r="K2" s="155"/>
      <c r="L2" s="155"/>
      <c r="M2" s="154"/>
      <c r="N2" s="155"/>
      <c r="P2" s="154"/>
      <c r="Q2" s="155"/>
      <c r="R2" s="155"/>
      <c r="S2" s="155"/>
      <c r="T2" s="154"/>
      <c r="U2" s="155"/>
      <c r="W2" s="157"/>
      <c r="X2" s="157"/>
      <c r="Y2" s="157"/>
      <c r="Z2" s="157"/>
      <c r="AA2" s="157"/>
      <c r="AB2" s="158"/>
    </row>
    <row r="3" spans="2:30" s="168" customFormat="1" ht="15.6">
      <c r="B3" s="228" t="s">
        <v>475</v>
      </c>
      <c r="C3" s="207"/>
      <c r="D3" s="207"/>
      <c r="E3" s="207"/>
      <c r="F3" s="208"/>
      <c r="G3" s="207"/>
      <c r="I3" s="228" t="s">
        <v>475</v>
      </c>
      <c r="J3" s="207"/>
      <c r="K3" s="207"/>
      <c r="L3" s="207"/>
      <c r="M3" s="208"/>
      <c r="N3" s="207"/>
      <c r="P3" s="228" t="s">
        <v>475</v>
      </c>
      <c r="Q3" s="207"/>
      <c r="R3" s="207"/>
      <c r="S3" s="207"/>
      <c r="T3" s="208"/>
      <c r="U3" s="207"/>
      <c r="W3" s="228" t="s">
        <v>475</v>
      </c>
      <c r="X3" s="207"/>
      <c r="Y3" s="207"/>
      <c r="Z3" s="207"/>
      <c r="AA3" s="208"/>
      <c r="AB3" s="207"/>
    </row>
    <row r="4" spans="2:30" ht="42" customHeight="1">
      <c r="B4" s="209" t="s">
        <v>46</v>
      </c>
      <c r="C4" s="210" t="s">
        <v>47</v>
      </c>
      <c r="D4" s="210" t="s">
        <v>48</v>
      </c>
      <c r="E4" s="210" t="s">
        <v>49</v>
      </c>
      <c r="F4" s="209" t="s">
        <v>50</v>
      </c>
      <c r="G4" s="210" t="s">
        <v>51</v>
      </c>
      <c r="I4" s="209" t="s">
        <v>46</v>
      </c>
      <c r="J4" s="210" t="s">
        <v>47</v>
      </c>
      <c r="K4" s="210" t="s">
        <v>48</v>
      </c>
      <c r="L4" s="210" t="s">
        <v>49</v>
      </c>
      <c r="M4" s="209" t="s">
        <v>50</v>
      </c>
      <c r="N4" s="210" t="s">
        <v>51</v>
      </c>
      <c r="P4" s="209" t="s">
        <v>46</v>
      </c>
      <c r="Q4" s="210" t="s">
        <v>47</v>
      </c>
      <c r="R4" s="210" t="s">
        <v>48</v>
      </c>
      <c r="S4" s="210" t="s">
        <v>49</v>
      </c>
      <c r="T4" s="209" t="s">
        <v>50</v>
      </c>
      <c r="U4" s="210" t="s">
        <v>51</v>
      </c>
      <c r="W4" s="166" t="s">
        <v>46</v>
      </c>
      <c r="X4" s="166" t="s">
        <v>47</v>
      </c>
      <c r="Y4" s="166" t="s">
        <v>48</v>
      </c>
      <c r="Z4" s="166" t="s">
        <v>49</v>
      </c>
      <c r="AA4" s="166" t="s">
        <v>50</v>
      </c>
      <c r="AB4" s="166" t="s">
        <v>51</v>
      </c>
    </row>
    <row r="5" spans="2:30" ht="21.75" customHeight="1">
      <c r="B5" s="233" t="s">
        <v>52</v>
      </c>
      <c r="C5" s="211">
        <f>COUNTIFS('1. All Data'!$AB$3:$AB$133,"Leader &amp; Economic Growth",'1. All Data'!$H$3:$H$133,"Fully Achieved")</f>
        <v>3</v>
      </c>
      <c r="D5" s="212">
        <f>C5/C16</f>
        <v>8.5714285714285715E-2</v>
      </c>
      <c r="E5" s="404">
        <f>D5+D6</f>
        <v>0.65714285714285714</v>
      </c>
      <c r="F5" s="213">
        <f>C5/C17</f>
        <v>0.12</v>
      </c>
      <c r="G5" s="409">
        <f>F5+F6</f>
        <v>0.92</v>
      </c>
      <c r="I5" s="233" t="s">
        <v>52</v>
      </c>
      <c r="J5" s="211">
        <f>COUNTIFS('1. All Data'!$AB$3:$AB$133,"Leader &amp; Economic Growth",'1. All Data'!$M$3:$M$133,"Fully Achieved")</f>
        <v>8</v>
      </c>
      <c r="K5" s="212">
        <f>J5/J16</f>
        <v>0.22857142857142856</v>
      </c>
      <c r="L5" s="404">
        <f>K5+K6</f>
        <v>0.77142857142857135</v>
      </c>
      <c r="M5" s="213">
        <f>J5/J17</f>
        <v>0.25806451612903225</v>
      </c>
      <c r="N5" s="409">
        <f>M5+M6</f>
        <v>0.87096774193548387</v>
      </c>
      <c r="P5" s="233" t="s">
        <v>52</v>
      </c>
      <c r="Q5" s="211">
        <f>COUNTIFS('1. All Data'!$AB$3:$AB$133,"Leader &amp; Economic Growth",'1. All Data'!$R$3:$R$133,"Fully Achieved")</f>
        <v>0</v>
      </c>
      <c r="R5" s="212" t="e">
        <f>Q5/Q16</f>
        <v>#DIV/0!</v>
      </c>
      <c r="S5" s="404" t="e">
        <f>R5+R6</f>
        <v>#DIV/0!</v>
      </c>
      <c r="T5" s="213" t="e">
        <f>Q5/Q17</f>
        <v>#DIV/0!</v>
      </c>
      <c r="U5" s="409" t="e">
        <f>T5+T6</f>
        <v>#DIV/0!</v>
      </c>
      <c r="W5" s="233" t="s">
        <v>52</v>
      </c>
      <c r="X5" s="211">
        <f>COUNTIFS('1. All Data'!$AB$3:$AB$133,"Leader &amp; Economic Growth",'1. All Data'!$V$3:$V$133,"Fully Achieved")</f>
        <v>0</v>
      </c>
      <c r="Y5" s="212" t="e">
        <f>X5/X16</f>
        <v>#DIV/0!</v>
      </c>
      <c r="Z5" s="404" t="e">
        <f>Y5+Y6</f>
        <v>#DIV/0!</v>
      </c>
      <c r="AA5" s="212" t="e">
        <f>X5/X17</f>
        <v>#DIV/0!</v>
      </c>
      <c r="AB5" s="378" t="e">
        <f>AA5+AA6</f>
        <v>#DIV/0!</v>
      </c>
    </row>
    <row r="6" spans="2:30" ht="18.75" customHeight="1">
      <c r="B6" s="233" t="s">
        <v>34</v>
      </c>
      <c r="C6" s="211">
        <f>COUNTIFS('1. All Data'!$AB$3:$AB$133,"Leader &amp; Economic Growth",'1. All Data'!$H$3:$H$133,"On Track to be Achieved")</f>
        <v>20</v>
      </c>
      <c r="D6" s="212">
        <f>C6/C16</f>
        <v>0.5714285714285714</v>
      </c>
      <c r="E6" s="404"/>
      <c r="F6" s="213">
        <f>C6/C17</f>
        <v>0.8</v>
      </c>
      <c r="G6" s="409"/>
      <c r="I6" s="233" t="s">
        <v>34</v>
      </c>
      <c r="J6" s="211">
        <f>COUNTIFS('1. All Data'!$AB$3:$AB$133,"Leader &amp; Economic Growth",'1. All Data'!$M$3:$M$133,"On Track to be Achieved")</f>
        <v>19</v>
      </c>
      <c r="K6" s="212">
        <f>J6/J16</f>
        <v>0.54285714285714282</v>
      </c>
      <c r="L6" s="404"/>
      <c r="M6" s="213">
        <f>J6/J17</f>
        <v>0.61290322580645162</v>
      </c>
      <c r="N6" s="409"/>
      <c r="P6" s="233" t="s">
        <v>34</v>
      </c>
      <c r="Q6" s="211">
        <f>COUNTIFS('1. All Data'!$AB$3:$AB$133,"LEADER",'1. All Data'!$R$3:$R$133,"On Track to be Achieved")</f>
        <v>0</v>
      </c>
      <c r="R6" s="212" t="e">
        <f>Q6/Q16</f>
        <v>#DIV/0!</v>
      </c>
      <c r="S6" s="404"/>
      <c r="T6" s="213" t="e">
        <f>Q6/Q17</f>
        <v>#DIV/0!</v>
      </c>
      <c r="U6" s="409"/>
      <c r="W6" s="233" t="s">
        <v>26</v>
      </c>
      <c r="X6" s="211">
        <f>COUNTIFS('1. All Data'!$AB$3:$AB$133,"Leader &amp; Economic Growth",'1. All Data'!$V$3:$V$133,"Numerical Outturn Within 5% Tolerance")</f>
        <v>0</v>
      </c>
      <c r="Y6" s="212" t="e">
        <f>X6/X16</f>
        <v>#DIV/0!</v>
      </c>
      <c r="Z6" s="404"/>
      <c r="AA6" s="212" t="e">
        <f>X6/X17</f>
        <v>#DIV/0!</v>
      </c>
      <c r="AB6" s="378"/>
    </row>
    <row r="7" spans="2:30" ht="21" customHeight="1">
      <c r="B7" s="398" t="s">
        <v>35</v>
      </c>
      <c r="C7" s="401">
        <f>COUNTIFS('1. All Data'!$AB$3:$AB$133,"Leader &amp; Economic Growth",'1. All Data'!$H$3:$H$133,"In Danger of Falling Behind Target")</f>
        <v>0</v>
      </c>
      <c r="D7" s="406">
        <f>C7/C16</f>
        <v>0</v>
      </c>
      <c r="E7" s="406">
        <f>D7</f>
        <v>0</v>
      </c>
      <c r="F7" s="392">
        <f>C7/C17</f>
        <v>0</v>
      </c>
      <c r="G7" s="395">
        <f>F7</f>
        <v>0</v>
      </c>
      <c r="I7" s="398" t="s">
        <v>35</v>
      </c>
      <c r="J7" s="401">
        <f>COUNTIFS('1. All Data'!$AB$3:$AB$133,"Leader &amp; Economic Growth",'1. All Data'!$M$3:$M$133,"In Danger of Falling Behind Target")</f>
        <v>2</v>
      </c>
      <c r="K7" s="406">
        <f>J7/J16</f>
        <v>5.7142857142857141E-2</v>
      </c>
      <c r="L7" s="406">
        <f>K7</f>
        <v>5.7142857142857141E-2</v>
      </c>
      <c r="M7" s="392">
        <f>J7/J17</f>
        <v>6.4516129032258063E-2</v>
      </c>
      <c r="N7" s="395">
        <f>M7</f>
        <v>6.4516129032258063E-2</v>
      </c>
      <c r="P7" s="398" t="s">
        <v>35</v>
      </c>
      <c r="Q7" s="401">
        <f>COUNTIFS('1. All Data'!$AB$3:$AB$133,"LEADER",'1. All Data'!$R$3:$R$133,"In Danger of Falling Behind Target")</f>
        <v>0</v>
      </c>
      <c r="R7" s="406" t="e">
        <f>Q7/Q16</f>
        <v>#DIV/0!</v>
      </c>
      <c r="S7" s="406" t="e">
        <f>R7</f>
        <v>#DIV/0!</v>
      </c>
      <c r="T7" s="392" t="e">
        <f>Q7/Q17</f>
        <v>#DIV/0!</v>
      </c>
      <c r="U7" s="395" t="e">
        <f>T7</f>
        <v>#DIV/0!</v>
      </c>
      <c r="W7" s="171" t="s">
        <v>27</v>
      </c>
      <c r="X7" s="172">
        <f>COUNTIFS('1. All Data'!$AB$3:$AB$133,"Leader &amp; Economic Growth",'1. All Data'!$V$3:$V$133,"Numerical Outturn Within 10% Tolerance")</f>
        <v>0</v>
      </c>
      <c r="Y7" s="170" t="e">
        <f>X7/$X$16</f>
        <v>#DIV/0!</v>
      </c>
      <c r="Z7" s="363" t="e">
        <f>SUM(Y7:Y9)</f>
        <v>#DIV/0!</v>
      </c>
      <c r="AA7" s="170" t="e">
        <f>X7/$X$17</f>
        <v>#DIV/0!</v>
      </c>
      <c r="AB7" s="364" t="e">
        <f>SUM(AA7:AA9)</f>
        <v>#DIV/0!</v>
      </c>
    </row>
    <row r="8" spans="2:30" ht="20.25" customHeight="1">
      <c r="B8" s="399"/>
      <c r="C8" s="402"/>
      <c r="D8" s="407"/>
      <c r="E8" s="407"/>
      <c r="F8" s="393"/>
      <c r="G8" s="396"/>
      <c r="I8" s="399"/>
      <c r="J8" s="402"/>
      <c r="K8" s="407"/>
      <c r="L8" s="407"/>
      <c r="M8" s="393"/>
      <c r="N8" s="396"/>
      <c r="P8" s="399"/>
      <c r="Q8" s="402"/>
      <c r="R8" s="407"/>
      <c r="S8" s="407"/>
      <c r="T8" s="393"/>
      <c r="U8" s="396"/>
      <c r="W8" s="171" t="s">
        <v>28</v>
      </c>
      <c r="X8" s="172">
        <f>COUNTIFS('1. All Data'!$AB$3:$AB$133,"Leader &amp; Economic Growth",'1. All Data'!$V$3:$V$133,"Target Partially Met")</f>
        <v>0</v>
      </c>
      <c r="Y8" s="170" t="e">
        <f>X8/$X$16</f>
        <v>#DIV/0!</v>
      </c>
      <c r="Z8" s="363"/>
      <c r="AA8" s="170" t="e">
        <f>X8/$X$17</f>
        <v>#DIV/0!</v>
      </c>
      <c r="AB8" s="364"/>
    </row>
    <row r="9" spans="2:30" ht="18.75" customHeight="1">
      <c r="B9" s="400"/>
      <c r="C9" s="403"/>
      <c r="D9" s="408"/>
      <c r="E9" s="408"/>
      <c r="F9" s="394"/>
      <c r="G9" s="397"/>
      <c r="I9" s="400"/>
      <c r="J9" s="403"/>
      <c r="K9" s="408"/>
      <c r="L9" s="408"/>
      <c r="M9" s="394"/>
      <c r="N9" s="397"/>
      <c r="P9" s="400"/>
      <c r="Q9" s="403"/>
      <c r="R9" s="408"/>
      <c r="S9" s="408"/>
      <c r="T9" s="394"/>
      <c r="U9" s="397"/>
      <c r="W9" s="171" t="s">
        <v>31</v>
      </c>
      <c r="X9" s="172">
        <f>COUNTIFS('1. All Data'!$AB$3:$AB$133,"Leader &amp; Economic Growth",'1. All Data'!$V$3:$V$133,"Completion Date Within Reasonable Tolerance")</f>
        <v>0</v>
      </c>
      <c r="Y9" s="170" t="e">
        <f>X9/$X$16</f>
        <v>#DIV/0!</v>
      </c>
      <c r="Z9" s="363"/>
      <c r="AA9" s="170" t="e">
        <f>X9/$X$17</f>
        <v>#DIV/0!</v>
      </c>
      <c r="AB9" s="364"/>
    </row>
    <row r="10" spans="2:30" ht="20.25" customHeight="1">
      <c r="B10" s="214" t="s">
        <v>36</v>
      </c>
      <c r="C10" s="211">
        <f>COUNTIFS('1. All Data'!$AB$3:$AB$133,"Leader &amp; Economic Growth",'1. All Data'!$H$3:$H$133,"Completed Behind Schedule")</f>
        <v>0</v>
      </c>
      <c r="D10" s="212">
        <f>C10/C16</f>
        <v>0</v>
      </c>
      <c r="E10" s="404">
        <f>D10+D11</f>
        <v>5.7142857142857141E-2</v>
      </c>
      <c r="F10" s="213">
        <f>C10/C17</f>
        <v>0</v>
      </c>
      <c r="G10" s="405">
        <f>F10+F11</f>
        <v>0.08</v>
      </c>
      <c r="I10" s="214" t="s">
        <v>36</v>
      </c>
      <c r="J10" s="211">
        <f>COUNTIFS('1. All Data'!$AB$3:$AB$133,"Leader &amp; Economic Growth",'1. All Data'!$M$3:$M$133,"Completed Behind Schedule")</f>
        <v>0</v>
      </c>
      <c r="K10" s="212">
        <f>J10/J16</f>
        <v>0</v>
      </c>
      <c r="L10" s="404">
        <f>K10+K11</f>
        <v>5.7142857142857141E-2</v>
      </c>
      <c r="M10" s="213">
        <f>J10/J17</f>
        <v>0</v>
      </c>
      <c r="N10" s="405">
        <f>M10+M11</f>
        <v>6.4516129032258063E-2</v>
      </c>
      <c r="P10" s="214" t="s">
        <v>36</v>
      </c>
      <c r="Q10" s="211">
        <f>COUNTIFS('1. All Data'!$AB$3:$AB$133,"LEADER",'1. All Data'!$R$3:$R$133,"Completed Behind Schedule")</f>
        <v>0</v>
      </c>
      <c r="R10" s="212" t="e">
        <f>Q10/Q16</f>
        <v>#DIV/0!</v>
      </c>
      <c r="S10" s="404" t="e">
        <f>R10+R11</f>
        <v>#DIV/0!</v>
      </c>
      <c r="T10" s="213" t="e">
        <f>Q10/Q17</f>
        <v>#DIV/0!</v>
      </c>
      <c r="U10" s="405" t="e">
        <f>T10+T11</f>
        <v>#DIV/0!</v>
      </c>
      <c r="W10" s="173" t="s">
        <v>30</v>
      </c>
      <c r="X10" s="211">
        <f>COUNTIFS('1. All Data'!$AB$3:$AB$133,"Leader &amp; Economic Growth",'1. All Data'!$V$3:$V$133,"Completed Significantly After Target Deadline")</f>
        <v>0</v>
      </c>
      <c r="Y10" s="212" t="e">
        <f>X10/X16</f>
        <v>#DIV/0!</v>
      </c>
      <c r="Z10" s="404" t="e">
        <f>Y10+Y11</f>
        <v>#DIV/0!</v>
      </c>
      <c r="AA10" s="170" t="e">
        <f>X10/$X$17</f>
        <v>#DIV/0!</v>
      </c>
      <c r="AB10" s="365" t="e">
        <f>AA10+AA11</f>
        <v>#DIV/0!</v>
      </c>
    </row>
    <row r="11" spans="2:30" ht="20.25" customHeight="1">
      <c r="B11" s="214" t="s">
        <v>29</v>
      </c>
      <c r="C11" s="211">
        <f>COUNTIFS('1. All Data'!$AB$3:$AB$133,"Leader &amp; Economic Growth",'1. All Data'!$H$3:$H$133,"Off Target")</f>
        <v>2</v>
      </c>
      <c r="D11" s="212">
        <f>C11/C16</f>
        <v>5.7142857142857141E-2</v>
      </c>
      <c r="E11" s="404"/>
      <c r="F11" s="213">
        <f>C11/C17</f>
        <v>0.08</v>
      </c>
      <c r="G11" s="405"/>
      <c r="I11" s="214" t="s">
        <v>29</v>
      </c>
      <c r="J11" s="211">
        <f>COUNTIFS('1. All Data'!$AB$3:$AB$133,"Leader &amp; Economic Growth",'1. All Data'!$M$3:$M$133,"Off Target")</f>
        <v>2</v>
      </c>
      <c r="K11" s="212">
        <f>J11/J16</f>
        <v>5.7142857142857141E-2</v>
      </c>
      <c r="L11" s="404"/>
      <c r="M11" s="213">
        <f>J11/J17</f>
        <v>6.4516129032258063E-2</v>
      </c>
      <c r="N11" s="405"/>
      <c r="P11" s="214" t="s">
        <v>29</v>
      </c>
      <c r="Q11" s="211">
        <f>COUNTIFS('1. All Data'!$AB$3:$AB$133,"LEADER",'1. All Data'!$R$3:$R$133,"Off Target")</f>
        <v>0</v>
      </c>
      <c r="R11" s="212" t="e">
        <f>Q11/Q16</f>
        <v>#DIV/0!</v>
      </c>
      <c r="S11" s="404"/>
      <c r="T11" s="213" t="e">
        <f>Q11/Q17</f>
        <v>#DIV/0!</v>
      </c>
      <c r="U11" s="405"/>
      <c r="W11" s="173" t="s">
        <v>29</v>
      </c>
      <c r="X11" s="211">
        <f>COUNTIFS('1. All Data'!$AB$3:$AB$133,"Leader &amp; Economic Growth",'1. All Data'!$V$3:$V$133,"Off Target")</f>
        <v>0</v>
      </c>
      <c r="Y11" s="212" t="e">
        <f>X11/X16</f>
        <v>#DIV/0!</v>
      </c>
      <c r="Z11" s="404"/>
      <c r="AA11" s="170" t="e">
        <f>X11/$X$17</f>
        <v>#DIV/0!</v>
      </c>
      <c r="AB11" s="365"/>
    </row>
    <row r="12" spans="2:30" ht="15" customHeight="1">
      <c r="B12" s="215" t="s">
        <v>53</v>
      </c>
      <c r="C12" s="211">
        <f>COUNTIFS('1. All Data'!$AB$3:$AB$133,"Leader &amp; Economic Growth",'1. All Data'!$H$3:$H$133,"Not yet due")</f>
        <v>10</v>
      </c>
      <c r="D12" s="216">
        <f>C12/C16</f>
        <v>0.2857142857142857</v>
      </c>
      <c r="E12" s="216">
        <f>D12</f>
        <v>0.2857142857142857</v>
      </c>
      <c r="F12" s="217"/>
      <c r="G12" s="59"/>
      <c r="I12" s="215" t="s">
        <v>53</v>
      </c>
      <c r="J12" s="211">
        <f>COUNTIFS('1. All Data'!$AB$3:$AB$133,"Leader &amp; Economic Growth",'1. All Data'!$M$3:$M$133,"Not yet due")</f>
        <v>4</v>
      </c>
      <c r="K12" s="216">
        <f>J12/J16</f>
        <v>0.11428571428571428</v>
      </c>
      <c r="L12" s="216">
        <f>K12</f>
        <v>0.11428571428571428</v>
      </c>
      <c r="M12" s="217"/>
      <c r="N12" s="59"/>
      <c r="P12" s="215" t="s">
        <v>53</v>
      </c>
      <c r="Q12" s="211">
        <f>COUNTIFS('1. All Data'!$AB$3:$AB$133,"LEADER",'1. All Data'!$R$3:$R$133,"Not yet due")</f>
        <v>0</v>
      </c>
      <c r="R12" s="216" t="e">
        <f>Q12/Q16</f>
        <v>#DIV/0!</v>
      </c>
      <c r="S12" s="216" t="e">
        <f>R12</f>
        <v>#DIV/0!</v>
      </c>
      <c r="T12" s="217"/>
      <c r="U12" s="59"/>
      <c r="W12" s="174" t="s">
        <v>53</v>
      </c>
      <c r="X12" s="211">
        <f>COUNTIFS('1. All Data'!$AB$3:$AB$133,"Leader &amp; Economic Growth",'1. All Data'!$V$3:$V$133,"Not yet due")</f>
        <v>0</v>
      </c>
      <c r="Y12" s="216" t="e">
        <f>X12/X16</f>
        <v>#DIV/0!</v>
      </c>
      <c r="Z12" s="216" t="e">
        <f>Y12</f>
        <v>#DIV/0!</v>
      </c>
      <c r="AA12" s="176"/>
      <c r="AB12" s="59"/>
    </row>
    <row r="13" spans="2:30" ht="15" customHeight="1">
      <c r="B13" s="215" t="s">
        <v>24</v>
      </c>
      <c r="C13" s="211">
        <f>COUNTIFS('1. All Data'!$AB$3:$AB$133,"Leader &amp; Economic Growth",'1. All Data'!$H$3:$H$133,"Update not provided")</f>
        <v>0</v>
      </c>
      <c r="D13" s="216">
        <f>C13/C16</f>
        <v>0</v>
      </c>
      <c r="E13" s="216">
        <f>D13</f>
        <v>0</v>
      </c>
      <c r="F13" s="217"/>
      <c r="G13" s="2"/>
      <c r="I13" s="215" t="s">
        <v>24</v>
      </c>
      <c r="J13" s="211">
        <f>COUNTIFS('1. All Data'!$AB$3:$AB$133,"Leader &amp; Economic Growth",'1. All Data'!$M$3:$M$133,"Update not provided")</f>
        <v>0</v>
      </c>
      <c r="K13" s="216">
        <f>J13/J16</f>
        <v>0</v>
      </c>
      <c r="L13" s="216">
        <f>K13</f>
        <v>0</v>
      </c>
      <c r="M13" s="217"/>
      <c r="N13" s="2"/>
      <c r="P13" s="215" t="s">
        <v>24</v>
      </c>
      <c r="Q13" s="211">
        <f>COUNTIFS('1. All Data'!$AB$3:$AB$133,"LEADER",'1. All Data'!$R$3:$R$133,"Update not provided")</f>
        <v>0</v>
      </c>
      <c r="R13" s="216" t="e">
        <f>Q13/Q16</f>
        <v>#DIV/0!</v>
      </c>
      <c r="S13" s="216" t="e">
        <f>R13</f>
        <v>#DIV/0!</v>
      </c>
      <c r="T13" s="217"/>
      <c r="U13" s="2"/>
      <c r="W13" s="174" t="s">
        <v>24</v>
      </c>
      <c r="X13" s="211">
        <f>COUNTIFS('1. All Data'!$AB$3:$AB$133,"Leader &amp; Economic Growth",'1. All Data'!$V$3:$V$133,"Update not provided")</f>
        <v>0</v>
      </c>
      <c r="Y13" s="216" t="e">
        <f>X13/X16</f>
        <v>#DIV/0!</v>
      </c>
      <c r="Z13" s="216" t="e">
        <f>Y13</f>
        <v>#DIV/0!</v>
      </c>
      <c r="AA13" s="176"/>
      <c r="AB13" s="2"/>
    </row>
    <row r="14" spans="2:30" ht="15.75" customHeight="1">
      <c r="B14" s="218" t="s">
        <v>32</v>
      </c>
      <c r="C14" s="211">
        <f>COUNTIFS('1. All Data'!$AB$3:$AB$133,"Leader &amp; Economic Growth",'1. All Data'!$H$3:$H$133,"Deferred")</f>
        <v>0</v>
      </c>
      <c r="D14" s="219">
        <f>C14/C16</f>
        <v>0</v>
      </c>
      <c r="E14" s="219">
        <f>D14</f>
        <v>0</v>
      </c>
      <c r="F14" s="220"/>
      <c r="G14" s="59"/>
      <c r="I14" s="218" t="s">
        <v>32</v>
      </c>
      <c r="J14" s="211">
        <f>COUNTIFS('1. All Data'!$AB$3:$AB$133,"Leader &amp; Economic Growth",'1. All Data'!$M$3:$M$133,"Deferred")</f>
        <v>0</v>
      </c>
      <c r="K14" s="219">
        <f>J14/J16</f>
        <v>0</v>
      </c>
      <c r="L14" s="219">
        <f>K14</f>
        <v>0</v>
      </c>
      <c r="M14" s="220"/>
      <c r="N14" s="59"/>
      <c r="P14" s="218" t="s">
        <v>32</v>
      </c>
      <c r="Q14" s="211">
        <f>COUNTIFS('1. All Data'!$AB$3:$AB$133,"LEADER",'1. All Data'!$R$3:$R$133,"Deferred")</f>
        <v>0</v>
      </c>
      <c r="R14" s="219" t="e">
        <f>Q14/Q16</f>
        <v>#DIV/0!</v>
      </c>
      <c r="S14" s="219" t="e">
        <f>R14</f>
        <v>#DIV/0!</v>
      </c>
      <c r="T14" s="220"/>
      <c r="U14" s="59"/>
      <c r="W14" s="177" t="s">
        <v>32</v>
      </c>
      <c r="X14" s="211">
        <f>COUNTIFS('1. All Data'!$AB$3:$AB$133,"Leader &amp; Economic Growth",'1. All Data'!$V$3:$V$133,"Deferred")</f>
        <v>0</v>
      </c>
      <c r="Y14" s="219" t="e">
        <f>X14/X16</f>
        <v>#DIV/0!</v>
      </c>
      <c r="Z14" s="219" t="e">
        <f>Y14</f>
        <v>#DIV/0!</v>
      </c>
      <c r="AA14" s="179"/>
      <c r="AB14" s="59"/>
    </row>
    <row r="15" spans="2:30" ht="15.75" customHeight="1">
      <c r="B15" s="218" t="s">
        <v>33</v>
      </c>
      <c r="C15" s="211">
        <f>COUNTIFS('1. All Data'!$AB$3:$AB$133,"Leader &amp; Economic Growth",'1. All Data'!$H$3:$H$133,"Deleted")</f>
        <v>0</v>
      </c>
      <c r="D15" s="219">
        <f>C15/C16</f>
        <v>0</v>
      </c>
      <c r="E15" s="219">
        <f>D15</f>
        <v>0</v>
      </c>
      <c r="F15" s="220"/>
      <c r="G15" s="30"/>
      <c r="I15" s="218" t="s">
        <v>33</v>
      </c>
      <c r="J15" s="211">
        <f>COUNTIFS('1. All Data'!$AB$3:$AB$133,"Leader &amp; Economic Growth",'1. All Data'!$M$3:$M$133,"Deleted")</f>
        <v>0</v>
      </c>
      <c r="K15" s="219">
        <f>J15/J16</f>
        <v>0</v>
      </c>
      <c r="L15" s="219">
        <f>K15</f>
        <v>0</v>
      </c>
      <c r="M15" s="220"/>
      <c r="N15" s="30"/>
      <c r="P15" s="218" t="s">
        <v>33</v>
      </c>
      <c r="Q15" s="211">
        <f>COUNTIFS('1. All Data'!$AB$3:$AB$133,"LEADER",'1. All Data'!$R$3:$R$133,"Deleted")</f>
        <v>0</v>
      </c>
      <c r="R15" s="219" t="e">
        <f>Q15/Q16</f>
        <v>#DIV/0!</v>
      </c>
      <c r="S15" s="219" t="e">
        <f>R15</f>
        <v>#DIV/0!</v>
      </c>
      <c r="T15" s="220"/>
      <c r="U15" s="30"/>
      <c r="W15" s="177" t="s">
        <v>33</v>
      </c>
      <c r="X15" s="211">
        <f>COUNTIFS('1. All Data'!$AB$3:$AB$133,"Leader &amp; Economic Growth",'1. All Data'!$V$3:$V$133,"Deleted")</f>
        <v>0</v>
      </c>
      <c r="Y15" s="219" t="e">
        <f>X15/X16</f>
        <v>#DIV/0!</v>
      </c>
      <c r="Z15" s="219" t="e">
        <f>Y15</f>
        <v>#DIV/0!</v>
      </c>
      <c r="AA15" s="179"/>
      <c r="AD15" s="3"/>
    </row>
    <row r="16" spans="2:30" ht="15.75" customHeight="1">
      <c r="B16" s="221" t="s">
        <v>55</v>
      </c>
      <c r="C16" s="222">
        <f>SUM(C5:C15)</f>
        <v>35</v>
      </c>
      <c r="D16" s="179"/>
      <c r="E16" s="179"/>
      <c r="F16" s="223"/>
      <c r="G16" s="59"/>
      <c r="I16" s="221" t="s">
        <v>55</v>
      </c>
      <c r="J16" s="222">
        <f>SUM(J5:J15)</f>
        <v>35</v>
      </c>
      <c r="K16" s="179"/>
      <c r="L16" s="179"/>
      <c r="M16" s="223"/>
      <c r="N16" s="59"/>
      <c r="P16" s="221" t="s">
        <v>55</v>
      </c>
      <c r="Q16" s="222">
        <f>SUM(Q5:Q15)</f>
        <v>0</v>
      </c>
      <c r="R16" s="179"/>
      <c r="S16" s="179"/>
      <c r="T16" s="223"/>
      <c r="U16" s="59"/>
      <c r="W16" s="180" t="s">
        <v>55</v>
      </c>
      <c r="X16" s="222">
        <f>SUM(X5:X15)</f>
        <v>0</v>
      </c>
      <c r="Y16" s="179"/>
      <c r="Z16" s="179"/>
      <c r="AA16" s="59"/>
      <c r="AB16" s="59"/>
    </row>
    <row r="17" spans="2:29" ht="15.75" customHeight="1">
      <c r="B17" s="221" t="s">
        <v>56</v>
      </c>
      <c r="C17" s="222">
        <f>C16-C15-C14-C13-C12</f>
        <v>25</v>
      </c>
      <c r="D17" s="59"/>
      <c r="E17" s="59"/>
      <c r="F17" s="223"/>
      <c r="G17" s="59"/>
      <c r="I17" s="221" t="s">
        <v>56</v>
      </c>
      <c r="J17" s="222">
        <f>J16-J15-J14-J13-J12</f>
        <v>31</v>
      </c>
      <c r="K17" s="59"/>
      <c r="L17" s="59"/>
      <c r="M17" s="223"/>
      <c r="N17" s="59"/>
      <c r="P17" s="221" t="s">
        <v>56</v>
      </c>
      <c r="Q17" s="222">
        <f>Q16-Q15-Q14-Q13-Q12</f>
        <v>0</v>
      </c>
      <c r="R17" s="59"/>
      <c r="S17" s="59"/>
      <c r="T17" s="223"/>
      <c r="U17" s="59"/>
      <c r="W17" s="180" t="s">
        <v>56</v>
      </c>
      <c r="X17" s="222">
        <f>X16-X15-X14-X13-X12</f>
        <v>0</v>
      </c>
      <c r="Y17" s="59"/>
      <c r="Z17" s="59"/>
      <c r="AA17" s="59"/>
      <c r="AB17" s="59"/>
    </row>
    <row r="18" spans="2:29" ht="15.75" customHeight="1">
      <c r="W18" s="182"/>
      <c r="AA18" s="2"/>
    </row>
    <row r="19" spans="2:29" ht="15.75" customHeight="1">
      <c r="AA19" s="2"/>
    </row>
    <row r="20" spans="2:29" s="168" customFormat="1" ht="15.75" customHeight="1">
      <c r="B20" s="190"/>
      <c r="C20" s="167"/>
      <c r="D20" s="167"/>
      <c r="E20" s="167"/>
      <c r="F20" s="223"/>
      <c r="G20" s="167"/>
      <c r="I20" s="190"/>
      <c r="J20" s="167"/>
      <c r="K20" s="167"/>
      <c r="L20" s="167"/>
      <c r="M20" s="223"/>
      <c r="N20" s="167"/>
      <c r="P20" s="190"/>
      <c r="Q20" s="167"/>
      <c r="R20" s="167"/>
      <c r="S20" s="167"/>
      <c r="T20" s="223"/>
      <c r="U20" s="167"/>
      <c r="W20" s="167"/>
      <c r="X20" s="167"/>
      <c r="Y20" s="167"/>
      <c r="Z20" s="167"/>
      <c r="AA20" s="59"/>
      <c r="AB20" s="189"/>
    </row>
    <row r="21" spans="2:29" ht="15" customHeight="1">
      <c r="W21" s="224"/>
      <c r="X21" s="59"/>
      <c r="Y21" s="59"/>
      <c r="Z21" s="59"/>
      <c r="AA21" s="59"/>
      <c r="AB21" s="179"/>
      <c r="AC21" s="168"/>
    </row>
    <row r="22" spans="2:29" s="168" customFormat="1" ht="15.6">
      <c r="B22" s="206" t="s">
        <v>476</v>
      </c>
      <c r="C22" s="207"/>
      <c r="D22" s="207"/>
      <c r="E22" s="207"/>
      <c r="F22" s="208"/>
      <c r="G22" s="207"/>
      <c r="I22" s="206" t="s">
        <v>476</v>
      </c>
      <c r="J22" s="207"/>
      <c r="K22" s="207"/>
      <c r="L22" s="207"/>
      <c r="M22" s="208"/>
      <c r="N22" s="207"/>
      <c r="P22" s="206" t="s">
        <v>476</v>
      </c>
      <c r="Q22" s="207"/>
      <c r="R22" s="207"/>
      <c r="S22" s="207"/>
      <c r="T22" s="208"/>
      <c r="U22" s="207"/>
      <c r="W22" s="206" t="s">
        <v>476</v>
      </c>
      <c r="X22" s="207"/>
      <c r="Y22" s="207"/>
      <c r="Z22" s="207"/>
      <c r="AA22" s="208"/>
      <c r="AB22" s="207"/>
    </row>
    <row r="23" spans="2:29" ht="42" customHeight="1">
      <c r="B23" s="209" t="s">
        <v>46</v>
      </c>
      <c r="C23" s="210" t="s">
        <v>47</v>
      </c>
      <c r="D23" s="210" t="s">
        <v>48</v>
      </c>
      <c r="E23" s="210" t="s">
        <v>49</v>
      </c>
      <c r="F23" s="209" t="s">
        <v>50</v>
      </c>
      <c r="G23" s="210" t="s">
        <v>51</v>
      </c>
      <c r="I23" s="209" t="s">
        <v>46</v>
      </c>
      <c r="J23" s="210" t="s">
        <v>47</v>
      </c>
      <c r="K23" s="210" t="s">
        <v>48</v>
      </c>
      <c r="L23" s="210" t="s">
        <v>49</v>
      </c>
      <c r="M23" s="209" t="s">
        <v>50</v>
      </c>
      <c r="N23" s="210" t="s">
        <v>51</v>
      </c>
      <c r="P23" s="209" t="s">
        <v>46</v>
      </c>
      <c r="Q23" s="210" t="s">
        <v>47</v>
      </c>
      <c r="R23" s="210" t="s">
        <v>48</v>
      </c>
      <c r="S23" s="210" t="s">
        <v>49</v>
      </c>
      <c r="T23" s="209" t="s">
        <v>50</v>
      </c>
      <c r="U23" s="210" t="s">
        <v>51</v>
      </c>
      <c r="W23" s="166" t="s">
        <v>46</v>
      </c>
      <c r="X23" s="166" t="s">
        <v>47</v>
      </c>
      <c r="Y23" s="166" t="s">
        <v>48</v>
      </c>
      <c r="Z23" s="166" t="s">
        <v>49</v>
      </c>
      <c r="AA23" s="166" t="s">
        <v>50</v>
      </c>
      <c r="AB23" s="166" t="s">
        <v>51</v>
      </c>
      <c r="AC23" s="168"/>
    </row>
    <row r="24" spans="2:29" ht="21.75" customHeight="1">
      <c r="B24" s="233" t="s">
        <v>52</v>
      </c>
      <c r="C24" s="211">
        <f>COUNTIFS('1. All Data'!$AB$3:$AB$133,"Tourism and cultural development",'1. All Data'!$H$3:$H$133,"Fully Achieved")</f>
        <v>2</v>
      </c>
      <c r="D24" s="212">
        <f>C24/C35</f>
        <v>9.5238095238095233E-2</v>
      </c>
      <c r="E24" s="404">
        <f>D24+D25</f>
        <v>0.76190476190476186</v>
      </c>
      <c r="F24" s="213">
        <f>C24/C36</f>
        <v>0.125</v>
      </c>
      <c r="G24" s="409">
        <f>F24+F25</f>
        <v>1</v>
      </c>
      <c r="I24" s="233" t="s">
        <v>52</v>
      </c>
      <c r="J24" s="211">
        <f>COUNTIFS('1. All Data'!$AB$3:$AB$133,"Tourism and cultural development",'1. All Data'!$M$3:$M$133,"Fully Achieved")</f>
        <v>10</v>
      </c>
      <c r="K24" s="212">
        <f>J24/J35</f>
        <v>0.47619047619047616</v>
      </c>
      <c r="L24" s="404">
        <f>K24+K25</f>
        <v>0.90476190476190466</v>
      </c>
      <c r="M24" s="213">
        <f>J24/J36</f>
        <v>0.52631578947368418</v>
      </c>
      <c r="N24" s="409">
        <f>M24+M25</f>
        <v>1</v>
      </c>
      <c r="P24" s="233" t="s">
        <v>52</v>
      </c>
      <c r="Q24" s="211">
        <f>COUNTIFS('1. All Data'!$AB$3:$AB$133,"Tourism and cultural development",'1. All Data'!$R$3:$R$133,"Fully Achieved")</f>
        <v>0</v>
      </c>
      <c r="R24" s="212" t="e">
        <f>Q24/Q35</f>
        <v>#DIV/0!</v>
      </c>
      <c r="S24" s="404" t="e">
        <f>R24+R25</f>
        <v>#DIV/0!</v>
      </c>
      <c r="T24" s="213" t="e">
        <f>Q24/Q36</f>
        <v>#DIV/0!</v>
      </c>
      <c r="U24" s="409" t="e">
        <f>T24+T25</f>
        <v>#DIV/0!</v>
      </c>
      <c r="W24" s="233" t="s">
        <v>52</v>
      </c>
      <c r="X24" s="211">
        <f>COUNTIFS('1. All Data'!$AB$3:$AB$133,"Tourism and cultural development",'1. All Data'!$V$3:$V$133,"Fully Achieved")</f>
        <v>0</v>
      </c>
      <c r="Y24" s="212" t="e">
        <f>X24/X35</f>
        <v>#DIV/0!</v>
      </c>
      <c r="Z24" s="404" t="e">
        <f>Y24+Y25</f>
        <v>#DIV/0!</v>
      </c>
      <c r="AA24" s="212" t="e">
        <f>X24/X36</f>
        <v>#DIV/0!</v>
      </c>
      <c r="AB24" s="378" t="e">
        <f>AA24+AA25</f>
        <v>#DIV/0!</v>
      </c>
      <c r="AC24" s="168"/>
    </row>
    <row r="25" spans="2:29" ht="18.75" customHeight="1">
      <c r="B25" s="233" t="s">
        <v>34</v>
      </c>
      <c r="C25" s="211">
        <f>COUNTIFS('1. All Data'!$AB$3:$AB$133,"Tourism and cultural development",'1. All Data'!$H$3:$H$133,"On Track to be Achieved")</f>
        <v>14</v>
      </c>
      <c r="D25" s="212">
        <f>C25/C35</f>
        <v>0.66666666666666663</v>
      </c>
      <c r="E25" s="404"/>
      <c r="F25" s="213">
        <f>C25/C36</f>
        <v>0.875</v>
      </c>
      <c r="G25" s="409"/>
      <c r="I25" s="233" t="s">
        <v>34</v>
      </c>
      <c r="J25" s="211">
        <f>COUNTIFS('1. All Data'!$AB$3:$AB$133,"Tourism and cultural development",'1. All Data'!$M$3:$M$133,"On Track to be Achieved")</f>
        <v>9</v>
      </c>
      <c r="K25" s="212">
        <f>J25/J35</f>
        <v>0.42857142857142855</v>
      </c>
      <c r="L25" s="404"/>
      <c r="M25" s="213">
        <f>J25/J36</f>
        <v>0.47368421052631576</v>
      </c>
      <c r="N25" s="409"/>
      <c r="P25" s="233" t="s">
        <v>34</v>
      </c>
      <c r="Q25" s="211">
        <f>COUNTIFS('1. All Data'!$AB$3:$AB$133,"Tourism and cultural development",'1. All Data'!$R$3:$R$133,"On Track to be Achieved")</f>
        <v>0</v>
      </c>
      <c r="R25" s="212" t="e">
        <f>Q25/Q35</f>
        <v>#DIV/0!</v>
      </c>
      <c r="S25" s="404"/>
      <c r="T25" s="213" t="e">
        <f>Q25/Q36</f>
        <v>#DIV/0!</v>
      </c>
      <c r="U25" s="409"/>
      <c r="W25" s="233" t="s">
        <v>26</v>
      </c>
      <c r="X25" s="211">
        <f>COUNTIFS('1. All Data'!$AB$3:$AB$133,"Tourism and cultural development",'1. All Data'!$V$3:$V$133,"Numerical Outturn Within 5% Tolerance")</f>
        <v>0</v>
      </c>
      <c r="Y25" s="212" t="e">
        <f>X25/X35</f>
        <v>#DIV/0!</v>
      </c>
      <c r="Z25" s="404"/>
      <c r="AA25" s="212" t="e">
        <f>X25/X36</f>
        <v>#DIV/0!</v>
      </c>
      <c r="AB25" s="378"/>
      <c r="AC25" s="168"/>
    </row>
    <row r="26" spans="2:29" ht="21" customHeight="1">
      <c r="B26" s="398" t="s">
        <v>35</v>
      </c>
      <c r="C26" s="401">
        <f>COUNTIFS('1. All Data'!$AB$3:$AB$133,"Tourism and cultural development",'1. All Data'!$H$3:$H$133,"In Danger of Falling Behind Target")</f>
        <v>0</v>
      </c>
      <c r="D26" s="406">
        <f>C26/C35</f>
        <v>0</v>
      </c>
      <c r="E26" s="406">
        <f>D26</f>
        <v>0</v>
      </c>
      <c r="F26" s="392">
        <f>C26/C36</f>
        <v>0</v>
      </c>
      <c r="G26" s="395">
        <f>F26</f>
        <v>0</v>
      </c>
      <c r="I26" s="398" t="s">
        <v>35</v>
      </c>
      <c r="J26" s="401">
        <f>COUNTIFS('1. All Data'!$AB$3:$AB$133,"Tourism and cultural development",'1. All Data'!$M$3:$M$133,"In Danger of Falling Behind Target")</f>
        <v>0</v>
      </c>
      <c r="K26" s="406">
        <f>J26/J35</f>
        <v>0</v>
      </c>
      <c r="L26" s="406">
        <f>K26</f>
        <v>0</v>
      </c>
      <c r="M26" s="392">
        <f>J26/J36</f>
        <v>0</v>
      </c>
      <c r="N26" s="395">
        <f>M26</f>
        <v>0</v>
      </c>
      <c r="P26" s="398" t="s">
        <v>35</v>
      </c>
      <c r="Q26" s="401">
        <f>COUNTIFS('1. All Data'!$AB$3:$AB$133,"Tourism and cultural development",'1. All Data'!$R$3:$R$133,"In Danger of Falling Behind Target")</f>
        <v>0</v>
      </c>
      <c r="R26" s="406" t="e">
        <f>Q26/Q35</f>
        <v>#DIV/0!</v>
      </c>
      <c r="S26" s="406" t="e">
        <f>R26</f>
        <v>#DIV/0!</v>
      </c>
      <c r="T26" s="392" t="e">
        <f>Q26/Q36</f>
        <v>#DIV/0!</v>
      </c>
      <c r="U26" s="395" t="e">
        <f>T26</f>
        <v>#DIV/0!</v>
      </c>
      <c r="W26" s="171" t="s">
        <v>27</v>
      </c>
      <c r="X26" s="172">
        <f>COUNTIFS('1. All Data'!$AB$3:$AB$133,"Tourism and cultural development",'1. All Data'!$V$3:$V$133,"Numerical Outturn Within 10% Tolerance")</f>
        <v>0</v>
      </c>
      <c r="Y26" s="170" t="e">
        <f>X26/X35</f>
        <v>#DIV/0!</v>
      </c>
      <c r="Z26" s="363" t="e">
        <f>SUM(Y26:Y28)</f>
        <v>#DIV/0!</v>
      </c>
      <c r="AA26" s="170" t="e">
        <f>X26/X36</f>
        <v>#DIV/0!</v>
      </c>
      <c r="AB26" s="364" t="e">
        <f>SUM(AA26:AA28)</f>
        <v>#DIV/0!</v>
      </c>
      <c r="AC26" s="168"/>
    </row>
    <row r="27" spans="2:29" ht="20.25" customHeight="1">
      <c r="B27" s="399"/>
      <c r="C27" s="402"/>
      <c r="D27" s="407"/>
      <c r="E27" s="407"/>
      <c r="F27" s="393"/>
      <c r="G27" s="396"/>
      <c r="I27" s="399"/>
      <c r="J27" s="402"/>
      <c r="K27" s="407"/>
      <c r="L27" s="407"/>
      <c r="M27" s="393"/>
      <c r="N27" s="396"/>
      <c r="P27" s="399"/>
      <c r="Q27" s="402"/>
      <c r="R27" s="407"/>
      <c r="S27" s="407"/>
      <c r="T27" s="393"/>
      <c r="U27" s="396"/>
      <c r="W27" s="171" t="s">
        <v>28</v>
      </c>
      <c r="X27" s="172">
        <f>COUNTIFS('1. All Data'!$AB$3:$AB$133,"Tourism and cultural development",'1. All Data'!$V$3:$V$133,"Target Partially Met")</f>
        <v>0</v>
      </c>
      <c r="Y27" s="170" t="e">
        <f>X27/X35</f>
        <v>#DIV/0!</v>
      </c>
      <c r="Z27" s="363"/>
      <c r="AA27" s="170" t="e">
        <f>X27/X36</f>
        <v>#DIV/0!</v>
      </c>
      <c r="AB27" s="364"/>
      <c r="AC27" s="168"/>
    </row>
    <row r="28" spans="2:29" ht="15.75" customHeight="1">
      <c r="B28" s="400"/>
      <c r="C28" s="403"/>
      <c r="D28" s="408"/>
      <c r="E28" s="408"/>
      <c r="F28" s="394"/>
      <c r="G28" s="397"/>
      <c r="I28" s="400"/>
      <c r="J28" s="403"/>
      <c r="K28" s="408"/>
      <c r="L28" s="408"/>
      <c r="M28" s="394"/>
      <c r="N28" s="397"/>
      <c r="P28" s="400"/>
      <c r="Q28" s="403"/>
      <c r="R28" s="408"/>
      <c r="S28" s="408"/>
      <c r="T28" s="394"/>
      <c r="U28" s="397"/>
      <c r="W28" s="171" t="s">
        <v>31</v>
      </c>
      <c r="X28" s="172">
        <f>COUNTIFS('1. All Data'!$AB$3:$AB$133,"Tourism and cultural development",'1. All Data'!$V$3:$V$133,"Completion Date Within Reasonable Tolerance")</f>
        <v>0</v>
      </c>
      <c r="Y28" s="170" t="e">
        <f>X28/X35</f>
        <v>#DIV/0!</v>
      </c>
      <c r="Z28" s="363"/>
      <c r="AA28" s="170" t="e">
        <f>X28/X36</f>
        <v>#DIV/0!</v>
      </c>
      <c r="AB28" s="364"/>
      <c r="AC28" s="168"/>
    </row>
    <row r="29" spans="2:29" ht="20.25" customHeight="1">
      <c r="B29" s="214" t="s">
        <v>36</v>
      </c>
      <c r="C29" s="211">
        <f>COUNTIFS('1. All Data'!$AB$3:$AB$133,"Tourism and cultural development",'1. All Data'!$H$3:$H$133,"Completed Behind Schedule")</f>
        <v>0</v>
      </c>
      <c r="D29" s="212">
        <f>C29/C35</f>
        <v>0</v>
      </c>
      <c r="E29" s="404">
        <f>D29+D30</f>
        <v>0</v>
      </c>
      <c r="F29" s="213">
        <f>C29/C36</f>
        <v>0</v>
      </c>
      <c r="G29" s="405">
        <f>F29+F30</f>
        <v>0</v>
      </c>
      <c r="I29" s="214" t="s">
        <v>36</v>
      </c>
      <c r="J29" s="211">
        <f>COUNTIFS('1. All Data'!$AB$3:$AB$133,"Tourism and cultural development",'1. All Data'!$M$3:$M$133,"Completed Behind Schedule")</f>
        <v>0</v>
      </c>
      <c r="K29" s="212">
        <f>J29/J35</f>
        <v>0</v>
      </c>
      <c r="L29" s="404">
        <f>K29+K30</f>
        <v>0</v>
      </c>
      <c r="M29" s="213">
        <f>J29/J36</f>
        <v>0</v>
      </c>
      <c r="N29" s="405">
        <f>M29+M30</f>
        <v>0</v>
      </c>
      <c r="P29" s="214" t="s">
        <v>36</v>
      </c>
      <c r="Q29" s="211">
        <f>COUNTIFS('1. All Data'!$AB$3:$AB$133,"Tourism and cultural development",'1. All Data'!$R$3:$R$133,"Completed Behind Schedule")</f>
        <v>0</v>
      </c>
      <c r="R29" s="212" t="e">
        <f>Q29/Q35</f>
        <v>#DIV/0!</v>
      </c>
      <c r="S29" s="404" t="e">
        <f>R29+R30</f>
        <v>#DIV/0!</v>
      </c>
      <c r="T29" s="213" t="e">
        <f>Q29/Q36</f>
        <v>#DIV/0!</v>
      </c>
      <c r="U29" s="405" t="e">
        <f>T29+T30</f>
        <v>#DIV/0!</v>
      </c>
      <c r="W29" s="173" t="s">
        <v>30</v>
      </c>
      <c r="X29" s="211">
        <f>COUNTIFS('1. All Data'!$AB$3:$AB$133,"Tourism and cultural development",'1. All Data'!$V$3:$V$133,"Completed Significantly After Target Deadline")</f>
        <v>0</v>
      </c>
      <c r="Y29" s="212" t="e">
        <f>X29/X35</f>
        <v>#DIV/0!</v>
      </c>
      <c r="Z29" s="404" t="e">
        <f>Y29+Y30</f>
        <v>#DIV/0!</v>
      </c>
      <c r="AA29" s="212" t="e">
        <f>X29/X36</f>
        <v>#DIV/0!</v>
      </c>
      <c r="AB29" s="365" t="e">
        <f>AA29+AA30</f>
        <v>#DIV/0!</v>
      </c>
      <c r="AC29" s="168"/>
    </row>
    <row r="30" spans="2:29" ht="20.25" customHeight="1">
      <c r="B30" s="214" t="s">
        <v>29</v>
      </c>
      <c r="C30" s="211">
        <f>COUNTIFS('1. All Data'!$AB$3:$AB$133,"Tourism and cultural development",'1. All Data'!$H$3:$H$133,"Off Target")</f>
        <v>0</v>
      </c>
      <c r="D30" s="212">
        <f>C30/C35</f>
        <v>0</v>
      </c>
      <c r="E30" s="404"/>
      <c r="F30" s="213">
        <f>C30/C36</f>
        <v>0</v>
      </c>
      <c r="G30" s="405"/>
      <c r="I30" s="214" t="s">
        <v>29</v>
      </c>
      <c r="J30" s="211">
        <f>COUNTIFS('1. All Data'!$AB$3:$AB$133,"Tourism and cultural development",'1. All Data'!$M$3:$M$133,"Off Target")</f>
        <v>0</v>
      </c>
      <c r="K30" s="212">
        <f>J30/J35</f>
        <v>0</v>
      </c>
      <c r="L30" s="404"/>
      <c r="M30" s="213">
        <f>J30/J36</f>
        <v>0</v>
      </c>
      <c r="N30" s="405"/>
      <c r="P30" s="214" t="s">
        <v>29</v>
      </c>
      <c r="Q30" s="211">
        <f>COUNTIFS('1. All Data'!$AB$3:$AB$133,"Tourism and cultural development",'1. All Data'!$R$3:$R$133,"Off Target")</f>
        <v>0</v>
      </c>
      <c r="R30" s="212" t="e">
        <f>Q30/Q35</f>
        <v>#DIV/0!</v>
      </c>
      <c r="S30" s="404"/>
      <c r="T30" s="213" t="e">
        <f>Q30/Q36</f>
        <v>#DIV/0!</v>
      </c>
      <c r="U30" s="405"/>
      <c r="W30" s="173" t="s">
        <v>29</v>
      </c>
      <c r="X30" s="211">
        <f>COUNTIFS('1. All Data'!$AB$3:$AB$133,"Tourism and cultural development",'1. All Data'!$V$3:$V$133,"Off Target")</f>
        <v>0</v>
      </c>
      <c r="Y30" s="212" t="e">
        <f>X30/X35</f>
        <v>#DIV/0!</v>
      </c>
      <c r="Z30" s="404"/>
      <c r="AA30" s="212" t="e">
        <f>X30/X36</f>
        <v>#DIV/0!</v>
      </c>
      <c r="AB30" s="365"/>
      <c r="AC30" s="168"/>
    </row>
    <row r="31" spans="2:29" ht="15" customHeight="1">
      <c r="B31" s="215" t="s">
        <v>53</v>
      </c>
      <c r="C31" s="211">
        <f>COUNTIFS('1. All Data'!$AB$3:$AB$133,"Tourism and cultural development",'1. All Data'!$H$3:$H$133,"Not yet due")</f>
        <v>5</v>
      </c>
      <c r="D31" s="216">
        <f>C31/C35</f>
        <v>0.23809523809523808</v>
      </c>
      <c r="E31" s="216">
        <f>D31</f>
        <v>0.23809523809523808</v>
      </c>
      <c r="F31" s="217"/>
      <c r="G31" s="59"/>
      <c r="I31" s="215" t="s">
        <v>53</v>
      </c>
      <c r="J31" s="211">
        <f>COUNTIFS('1. All Data'!$AB$3:$AB$133,"Tourism and cultural development",'1. All Data'!$M$3:$M$133,"Not yet due")</f>
        <v>2</v>
      </c>
      <c r="K31" s="216">
        <f>J31/J35</f>
        <v>9.5238095238095233E-2</v>
      </c>
      <c r="L31" s="216">
        <f>K31</f>
        <v>9.5238095238095233E-2</v>
      </c>
      <c r="M31" s="217"/>
      <c r="N31" s="59"/>
      <c r="P31" s="215" t="s">
        <v>53</v>
      </c>
      <c r="Q31" s="211">
        <f>COUNTIFS('1. All Data'!$AB$3:$AB$133,"Tourism and cultural development",'1. All Data'!$R$3:$R$133,"Not yet due")</f>
        <v>0</v>
      </c>
      <c r="R31" s="216" t="e">
        <f>Q31/Q35</f>
        <v>#DIV/0!</v>
      </c>
      <c r="S31" s="216" t="e">
        <f>R31</f>
        <v>#DIV/0!</v>
      </c>
      <c r="T31" s="217"/>
      <c r="U31" s="59"/>
      <c r="W31" s="174" t="s">
        <v>53</v>
      </c>
      <c r="X31" s="211">
        <f>COUNTIFS('1. All Data'!$AB$3:$AB$133,"Tourism and cultural development",'1. All Data'!$V$3:$V$133,"Not yet due")</f>
        <v>0</v>
      </c>
      <c r="Y31" s="216" t="e">
        <f>X31/X35</f>
        <v>#DIV/0!</v>
      </c>
      <c r="Z31" s="216" t="e">
        <f>Y31</f>
        <v>#DIV/0!</v>
      </c>
      <c r="AA31" s="176"/>
      <c r="AB31" s="59"/>
      <c r="AC31" s="168"/>
    </row>
    <row r="32" spans="2:29" ht="15" customHeight="1">
      <c r="B32" s="215" t="s">
        <v>24</v>
      </c>
      <c r="C32" s="211">
        <f>COUNTIFS('1. All Data'!$AB$3:$AB$133,"Tourism and cultural development",'1. All Data'!$H$3:$H$133,"Update not provided")</f>
        <v>0</v>
      </c>
      <c r="D32" s="216">
        <f>C32/C35</f>
        <v>0</v>
      </c>
      <c r="E32" s="216">
        <f>D32</f>
        <v>0</v>
      </c>
      <c r="F32" s="217"/>
      <c r="G32" s="2"/>
      <c r="I32" s="215" t="s">
        <v>24</v>
      </c>
      <c r="J32" s="211">
        <f>COUNTIFS('1. All Data'!$AB$3:$AB$133,"Tourism and cultural development",'1. All Data'!$M$3:$M$133,"Update not provided")</f>
        <v>0</v>
      </c>
      <c r="K32" s="216">
        <f>J32/J35</f>
        <v>0</v>
      </c>
      <c r="L32" s="216">
        <f>K32</f>
        <v>0</v>
      </c>
      <c r="M32" s="217"/>
      <c r="N32" s="2"/>
      <c r="P32" s="215" t="s">
        <v>24</v>
      </c>
      <c r="Q32" s="211">
        <f>COUNTIFS('1. All Data'!$AB$3:$AB$133,"Tourism and cultural development",'1. All Data'!$R$3:$R$133,"Update not provided")</f>
        <v>0</v>
      </c>
      <c r="R32" s="216" t="e">
        <f>Q32/Q35</f>
        <v>#DIV/0!</v>
      </c>
      <c r="S32" s="216" t="e">
        <f>R32</f>
        <v>#DIV/0!</v>
      </c>
      <c r="T32" s="217"/>
      <c r="U32" s="2"/>
      <c r="W32" s="174" t="s">
        <v>24</v>
      </c>
      <c r="X32" s="211">
        <f>COUNTIFS('1. All Data'!$AB$3:$AB$133,"Tourism and cultural development",'1. All Data'!$V$3:$V$133,"Update not provided")</f>
        <v>0</v>
      </c>
      <c r="Y32" s="216" t="e">
        <f>X32/X35</f>
        <v>#DIV/0!</v>
      </c>
      <c r="Z32" s="216" t="e">
        <f>Y32</f>
        <v>#DIV/0!</v>
      </c>
      <c r="AA32" s="176"/>
      <c r="AB32" s="2"/>
      <c r="AC32" s="168"/>
    </row>
    <row r="33" spans="2:29" ht="15.75" customHeight="1">
      <c r="B33" s="218" t="s">
        <v>32</v>
      </c>
      <c r="C33" s="211">
        <f>COUNTIFS('1. All Data'!$AB$3:$AB$133,"Tourism and cultural development",'1. All Data'!$H$3:$H$133,"Deferred")</f>
        <v>0</v>
      </c>
      <c r="D33" s="219">
        <f>C33/C35</f>
        <v>0</v>
      </c>
      <c r="E33" s="219">
        <f>D33</f>
        <v>0</v>
      </c>
      <c r="F33" s="220"/>
      <c r="G33" s="59"/>
      <c r="I33" s="218" t="s">
        <v>32</v>
      </c>
      <c r="J33" s="211">
        <f>COUNTIFS('1. All Data'!$AB$3:$AB$133,"Tourism and cultural development",'1. All Data'!$M$3:$M$133,"Deferred")</f>
        <v>0</v>
      </c>
      <c r="K33" s="219">
        <f>J33/J35</f>
        <v>0</v>
      </c>
      <c r="L33" s="219">
        <f>K33</f>
        <v>0</v>
      </c>
      <c r="M33" s="220"/>
      <c r="N33" s="59"/>
      <c r="P33" s="218" t="s">
        <v>32</v>
      </c>
      <c r="Q33" s="211">
        <f>COUNTIFS('1. All Data'!$AB$3:$AB$133,"Tourism and cultural development",'1. All Data'!$R$3:$R$133,"Deferred")</f>
        <v>0</v>
      </c>
      <c r="R33" s="219" t="e">
        <f>Q33/Q35</f>
        <v>#DIV/0!</v>
      </c>
      <c r="S33" s="219" t="e">
        <f>R33</f>
        <v>#DIV/0!</v>
      </c>
      <c r="T33" s="220"/>
      <c r="U33" s="59"/>
      <c r="W33" s="177" t="s">
        <v>32</v>
      </c>
      <c r="X33" s="211">
        <f>COUNTIFS('1. All Data'!$AB$3:$AB$133,"Tourism and cultural development",'1. All Data'!$V$3:$V$133,"Deferred")</f>
        <v>0</v>
      </c>
      <c r="Y33" s="219" t="e">
        <f>X33/X35</f>
        <v>#DIV/0!</v>
      </c>
      <c r="Z33" s="219" t="e">
        <f>Y33</f>
        <v>#DIV/0!</v>
      </c>
      <c r="AA33" s="179"/>
      <c r="AB33" s="59"/>
      <c r="AC33" s="168"/>
    </row>
    <row r="34" spans="2:29" ht="15.75" customHeight="1">
      <c r="B34" s="218" t="s">
        <v>33</v>
      </c>
      <c r="C34" s="211">
        <f>COUNTIFS('1. All Data'!$AB$3:$AB$133,"Tourism and cultural development",'1. All Data'!$H$3:$H$133,"Deleted")</f>
        <v>0</v>
      </c>
      <c r="D34" s="219">
        <f>C34/C35</f>
        <v>0</v>
      </c>
      <c r="E34" s="219">
        <f>D34</f>
        <v>0</v>
      </c>
      <c r="F34" s="220"/>
      <c r="G34" s="30"/>
      <c r="I34" s="218" t="s">
        <v>33</v>
      </c>
      <c r="J34" s="211">
        <f>COUNTIFS('1. All Data'!$AB$3:$AB$133,"Tourism and cultural development",'1. All Data'!$M$3:$M$133,"Deleted")</f>
        <v>0</v>
      </c>
      <c r="K34" s="219">
        <f>J34/J35</f>
        <v>0</v>
      </c>
      <c r="L34" s="219">
        <f>K34</f>
        <v>0</v>
      </c>
      <c r="M34" s="220"/>
      <c r="N34" s="30"/>
      <c r="P34" s="218" t="s">
        <v>33</v>
      </c>
      <c r="Q34" s="211">
        <f>COUNTIFS('1. All Data'!$AB$3:$AB$133,"Tourism and cultural development",'1. All Data'!$R$3:$R$133,"Deleted")</f>
        <v>0</v>
      </c>
      <c r="R34" s="219" t="e">
        <f>Q34/Q35</f>
        <v>#DIV/0!</v>
      </c>
      <c r="S34" s="219" t="e">
        <f>R34</f>
        <v>#DIV/0!</v>
      </c>
      <c r="T34" s="220"/>
      <c r="U34" s="30"/>
      <c r="W34" s="177" t="s">
        <v>33</v>
      </c>
      <c r="X34" s="211">
        <f>COUNTIFS('1. All Data'!$AB$3:$AB$133,"Tourism and cultural development",'1. All Data'!$V$3:$V$133,"Deleted")</f>
        <v>0</v>
      </c>
      <c r="Y34" s="219" t="e">
        <f>X34/X35</f>
        <v>#DIV/0!</v>
      </c>
      <c r="Z34" s="219" t="e">
        <f>Y34</f>
        <v>#DIV/0!</v>
      </c>
      <c r="AA34" s="179"/>
      <c r="AB34" s="3"/>
      <c r="AC34" s="168"/>
    </row>
    <row r="35" spans="2:29" ht="15.75" customHeight="1">
      <c r="B35" s="221" t="s">
        <v>55</v>
      </c>
      <c r="C35" s="222">
        <f>SUM(C24:C34)</f>
        <v>21</v>
      </c>
      <c r="D35" s="179"/>
      <c r="E35" s="179"/>
      <c r="F35" s="223"/>
      <c r="G35" s="59"/>
      <c r="I35" s="221" t="s">
        <v>55</v>
      </c>
      <c r="J35" s="222">
        <f>SUM(J24:J34)</f>
        <v>21</v>
      </c>
      <c r="K35" s="179"/>
      <c r="L35" s="179"/>
      <c r="M35" s="223"/>
      <c r="N35" s="59"/>
      <c r="P35" s="221" t="s">
        <v>55</v>
      </c>
      <c r="Q35" s="222">
        <f>SUM(Q24:Q34)</f>
        <v>0</v>
      </c>
      <c r="R35" s="179"/>
      <c r="S35" s="179"/>
      <c r="T35" s="223"/>
      <c r="U35" s="59"/>
      <c r="W35" s="180" t="s">
        <v>55</v>
      </c>
      <c r="X35" s="222">
        <f>SUM(X24:X34)</f>
        <v>0</v>
      </c>
      <c r="Y35" s="179"/>
      <c r="Z35" s="179"/>
      <c r="AA35" s="59"/>
      <c r="AB35" s="59"/>
      <c r="AC35" s="168"/>
    </row>
    <row r="36" spans="2:29" ht="15.75" customHeight="1">
      <c r="B36" s="221" t="s">
        <v>56</v>
      </c>
      <c r="C36" s="222">
        <f>C35-C34-C33-C32-C31</f>
        <v>16</v>
      </c>
      <c r="D36" s="59"/>
      <c r="E36" s="59"/>
      <c r="F36" s="223"/>
      <c r="G36" s="59"/>
      <c r="I36" s="221" t="s">
        <v>56</v>
      </c>
      <c r="J36" s="222">
        <f>J35-J34-J33-J32-J31</f>
        <v>19</v>
      </c>
      <c r="K36" s="59"/>
      <c r="L36" s="59"/>
      <c r="M36" s="223"/>
      <c r="N36" s="59"/>
      <c r="P36" s="221" t="s">
        <v>56</v>
      </c>
      <c r="Q36" s="222">
        <f>Q35-Q34-Q33-Q32-Q31</f>
        <v>0</v>
      </c>
      <c r="R36" s="59"/>
      <c r="S36" s="59"/>
      <c r="T36" s="223"/>
      <c r="U36" s="59"/>
      <c r="W36" s="180" t="s">
        <v>56</v>
      </c>
      <c r="X36" s="222">
        <f>X35-X34-X33-X32-X31</f>
        <v>0</v>
      </c>
      <c r="Y36" s="59"/>
      <c r="Z36" s="59"/>
      <c r="AA36" s="59"/>
      <c r="AB36" s="59"/>
      <c r="AC36" s="168"/>
    </row>
    <row r="37" spans="2:29" ht="15.75" customHeight="1">
      <c r="W37" s="182"/>
      <c r="AA37" s="2"/>
      <c r="AC37" s="168"/>
    </row>
    <row r="38" spans="2:29" ht="15.75" customHeight="1">
      <c r="W38" s="167"/>
      <c r="X38" s="167"/>
      <c r="Y38" s="167"/>
      <c r="Z38" s="167"/>
      <c r="AA38" s="167"/>
      <c r="AB38" s="189"/>
      <c r="AC38" s="168"/>
    </row>
    <row r="39" spans="2:29" s="168" customFormat="1" ht="15.75" customHeight="1">
      <c r="B39" s="190"/>
      <c r="C39" s="167"/>
      <c r="D39" s="167"/>
      <c r="E39" s="167"/>
      <c r="F39" s="223"/>
      <c r="G39" s="167"/>
      <c r="I39" s="190"/>
      <c r="J39" s="167"/>
      <c r="K39" s="167"/>
      <c r="L39" s="167"/>
      <c r="M39" s="223"/>
      <c r="N39" s="167"/>
      <c r="P39" s="190"/>
      <c r="Q39" s="167"/>
      <c r="R39" s="167"/>
      <c r="S39" s="167"/>
      <c r="T39" s="223"/>
      <c r="U39" s="167"/>
      <c r="W39" s="224"/>
      <c r="X39" s="59"/>
      <c r="Y39" s="59"/>
      <c r="Z39" s="59"/>
      <c r="AA39" s="59"/>
      <c r="AB39" s="179"/>
    </row>
    <row r="40" spans="2:29" s="168" customFormat="1" ht="15.75" customHeight="1">
      <c r="B40" s="206" t="s">
        <v>477</v>
      </c>
      <c r="C40" s="207"/>
      <c r="D40" s="207"/>
      <c r="E40" s="207"/>
      <c r="F40" s="208"/>
      <c r="G40" s="207"/>
      <c r="I40" s="206" t="s">
        <v>477</v>
      </c>
      <c r="J40" s="207"/>
      <c r="K40" s="207"/>
      <c r="L40" s="207"/>
      <c r="M40" s="208"/>
      <c r="N40" s="207"/>
      <c r="P40" s="206" t="s">
        <v>477</v>
      </c>
      <c r="Q40" s="207"/>
      <c r="R40" s="207"/>
      <c r="S40" s="207"/>
      <c r="T40" s="208"/>
      <c r="U40" s="207"/>
      <c r="W40" s="206" t="s">
        <v>477</v>
      </c>
      <c r="X40" s="207"/>
      <c r="Y40" s="207"/>
      <c r="Z40" s="207"/>
      <c r="AA40" s="208"/>
      <c r="AB40" s="207"/>
    </row>
    <row r="41" spans="2:29" ht="36" customHeight="1">
      <c r="B41" s="209" t="s">
        <v>46</v>
      </c>
      <c r="C41" s="210" t="s">
        <v>47</v>
      </c>
      <c r="D41" s="210" t="s">
        <v>48</v>
      </c>
      <c r="E41" s="210" t="s">
        <v>49</v>
      </c>
      <c r="F41" s="209" t="s">
        <v>50</v>
      </c>
      <c r="G41" s="210" t="s">
        <v>51</v>
      </c>
      <c r="I41" s="209" t="s">
        <v>46</v>
      </c>
      <c r="J41" s="210" t="s">
        <v>47</v>
      </c>
      <c r="K41" s="210" t="s">
        <v>48</v>
      </c>
      <c r="L41" s="210" t="s">
        <v>49</v>
      </c>
      <c r="M41" s="209" t="s">
        <v>50</v>
      </c>
      <c r="N41" s="210" t="s">
        <v>51</v>
      </c>
      <c r="P41" s="209" t="s">
        <v>46</v>
      </c>
      <c r="Q41" s="210" t="s">
        <v>47</v>
      </c>
      <c r="R41" s="210" t="s">
        <v>48</v>
      </c>
      <c r="S41" s="210" t="s">
        <v>49</v>
      </c>
      <c r="T41" s="209" t="s">
        <v>50</v>
      </c>
      <c r="U41" s="210" t="s">
        <v>51</v>
      </c>
      <c r="W41" s="166" t="s">
        <v>46</v>
      </c>
      <c r="X41" s="166" t="s">
        <v>47</v>
      </c>
      <c r="Y41" s="166" t="s">
        <v>48</v>
      </c>
      <c r="Z41" s="166" t="s">
        <v>49</v>
      </c>
      <c r="AA41" s="166" t="s">
        <v>50</v>
      </c>
      <c r="AB41" s="166" t="s">
        <v>51</v>
      </c>
      <c r="AC41" s="168"/>
    </row>
    <row r="42" spans="2:29" ht="18.75" customHeight="1">
      <c r="B42" s="233" t="s">
        <v>52</v>
      </c>
      <c r="C42" s="211">
        <f>COUNTIFS('1. All Data'!$AB$3:$AB$133,"Communities and Housing Standards",'1. All Data'!$H$3:$H$133,"Fully Achieved")</f>
        <v>1</v>
      </c>
      <c r="D42" s="212">
        <f>C42/C53</f>
        <v>2.9411764705882353E-2</v>
      </c>
      <c r="E42" s="404">
        <f>D42+D43</f>
        <v>0.76470588235294124</v>
      </c>
      <c r="F42" s="213">
        <f>C42/C54</f>
        <v>3.8461538461538464E-2</v>
      </c>
      <c r="G42" s="409">
        <f>F42+F43</f>
        <v>1</v>
      </c>
      <c r="I42" s="233" t="s">
        <v>52</v>
      </c>
      <c r="J42" s="211">
        <f>COUNTIFS('1. All Data'!$AB$3:$AB$133,"Communities and Housing Standards",'1. All Data'!$M$3:$M$133,"Fully Achieved")</f>
        <v>8</v>
      </c>
      <c r="K42" s="212">
        <f>J42/J53</f>
        <v>0.23529411764705882</v>
      </c>
      <c r="L42" s="404">
        <f>K42+K43</f>
        <v>0.94117647058823528</v>
      </c>
      <c r="M42" s="213">
        <f>J42/J54</f>
        <v>0.25</v>
      </c>
      <c r="N42" s="409">
        <f>M42+M43</f>
        <v>1</v>
      </c>
      <c r="P42" s="233" t="s">
        <v>52</v>
      </c>
      <c r="Q42" s="211">
        <f>COUNTIFS('1. All Data'!$AB$3:$AB$133,"Communities and Housing Standards",'1. All Data'!$R$3:$R$133,"Fully Achieved")</f>
        <v>0</v>
      </c>
      <c r="R42" s="212" t="e">
        <f>Q42/Q53</f>
        <v>#DIV/0!</v>
      </c>
      <c r="S42" s="404" t="e">
        <f>R42+R43</f>
        <v>#DIV/0!</v>
      </c>
      <c r="T42" s="213" t="e">
        <f>Q42/Q54</f>
        <v>#DIV/0!</v>
      </c>
      <c r="U42" s="409" t="e">
        <f>T42+T43</f>
        <v>#DIV/0!</v>
      </c>
      <c r="W42" s="233" t="s">
        <v>52</v>
      </c>
      <c r="X42" s="211">
        <f>COUNTIFS('1. All Data'!$AB$3:$AB$133,"Communities and Housing Standards",'1. All Data'!$V$3:$V$133,"Fully Achieved")</f>
        <v>0</v>
      </c>
      <c r="Y42" s="212" t="e">
        <f>X42/X53</f>
        <v>#DIV/0!</v>
      </c>
      <c r="Z42" s="404" t="e">
        <f>Y42+Y43</f>
        <v>#DIV/0!</v>
      </c>
      <c r="AA42" s="212" t="e">
        <f>X42/X54</f>
        <v>#DIV/0!</v>
      </c>
      <c r="AB42" s="378" t="e">
        <f>AA42+AA43</f>
        <v>#DIV/0!</v>
      </c>
      <c r="AC42" s="168"/>
    </row>
    <row r="43" spans="2:29" ht="18.75" customHeight="1">
      <c r="B43" s="233" t="s">
        <v>34</v>
      </c>
      <c r="C43" s="211">
        <f>COUNTIFS('1. All Data'!$AB$3:$AB$133,"Communities and Housing Standards",'1. All Data'!$H$3:$H$133,"On Track to be Achieved")</f>
        <v>25</v>
      </c>
      <c r="D43" s="212">
        <f>C43/C53</f>
        <v>0.73529411764705888</v>
      </c>
      <c r="E43" s="404"/>
      <c r="F43" s="213">
        <f>C43/C54</f>
        <v>0.96153846153846156</v>
      </c>
      <c r="G43" s="409"/>
      <c r="I43" s="233" t="s">
        <v>34</v>
      </c>
      <c r="J43" s="211">
        <f>COUNTIFS('1. All Data'!$AB$3:$AB$133,"Communities and Housing Standards",'1. All Data'!$M$3:$M$133,"On Track to be Achieved")</f>
        <v>24</v>
      </c>
      <c r="K43" s="212">
        <f>J43/J53</f>
        <v>0.70588235294117652</v>
      </c>
      <c r="L43" s="404"/>
      <c r="M43" s="213">
        <f>J43/J54</f>
        <v>0.75</v>
      </c>
      <c r="N43" s="409"/>
      <c r="P43" s="233" t="s">
        <v>34</v>
      </c>
      <c r="Q43" s="211">
        <f>COUNTIFS('1. All Data'!$AB$3:$AB$133,"Communities and Housing Standards",'1. All Data'!$R$3:$R$133,"On Track to be Achieved")</f>
        <v>0</v>
      </c>
      <c r="R43" s="212" t="e">
        <f>Q43/Q53</f>
        <v>#DIV/0!</v>
      </c>
      <c r="S43" s="404"/>
      <c r="T43" s="213" t="e">
        <f>Q43/Q54</f>
        <v>#DIV/0!</v>
      </c>
      <c r="U43" s="409"/>
      <c r="W43" s="233" t="s">
        <v>26</v>
      </c>
      <c r="X43" s="211">
        <f>COUNTIFS('1. All Data'!$AB$3:$AB$133,"Communities and Housing Standards",'1. All Data'!$V$3:$V$133,"Numerical Outturn Within 5% Tolerance")</f>
        <v>0</v>
      </c>
      <c r="Y43" s="212" t="e">
        <f>X43/X53</f>
        <v>#DIV/0!</v>
      </c>
      <c r="Z43" s="404"/>
      <c r="AA43" s="212" t="e">
        <f>X43/X54</f>
        <v>#DIV/0!</v>
      </c>
      <c r="AB43" s="378"/>
      <c r="AC43" s="168"/>
    </row>
    <row r="44" spans="2:29" ht="16.5" customHeight="1">
      <c r="B44" s="398" t="s">
        <v>35</v>
      </c>
      <c r="C44" s="401">
        <f>COUNTIFS('1. All Data'!$AB$3:$AB$133,"Communities and Housing Standards",'1. All Data'!$H$3:$H$133,"In Danger of Falling Behind Target")</f>
        <v>0</v>
      </c>
      <c r="D44" s="406">
        <f>C44/C53</f>
        <v>0</v>
      </c>
      <c r="E44" s="406">
        <f>D44</f>
        <v>0</v>
      </c>
      <c r="F44" s="392">
        <f>C44/C54</f>
        <v>0</v>
      </c>
      <c r="G44" s="395">
        <f>F44</f>
        <v>0</v>
      </c>
      <c r="I44" s="398" t="s">
        <v>35</v>
      </c>
      <c r="J44" s="401">
        <f>COUNTIFS('1. All Data'!$AB$3:$AB$133,"Communities and Housing Standards",'1. All Data'!$M$3:$M$133,"In Danger of Falling Behind Target")</f>
        <v>0</v>
      </c>
      <c r="K44" s="406">
        <f>J44/J53</f>
        <v>0</v>
      </c>
      <c r="L44" s="406">
        <f>K44</f>
        <v>0</v>
      </c>
      <c r="M44" s="392">
        <f>J44/J54</f>
        <v>0</v>
      </c>
      <c r="N44" s="395">
        <f>M44</f>
        <v>0</v>
      </c>
      <c r="P44" s="398" t="s">
        <v>35</v>
      </c>
      <c r="Q44" s="401">
        <f>COUNTIFS('1. All Data'!$AB$3:$AB$133,"Communities and Housing Standards",'1. All Data'!$R$3:$R$133,"In Danger of Falling Behind Target")</f>
        <v>0</v>
      </c>
      <c r="R44" s="406" t="e">
        <f>Q44/Q53</f>
        <v>#DIV/0!</v>
      </c>
      <c r="S44" s="406" t="e">
        <f>R44</f>
        <v>#DIV/0!</v>
      </c>
      <c r="T44" s="392" t="e">
        <f>Q44/Q54</f>
        <v>#DIV/0!</v>
      </c>
      <c r="U44" s="395" t="e">
        <f>T44</f>
        <v>#DIV/0!</v>
      </c>
      <c r="W44" s="171" t="s">
        <v>27</v>
      </c>
      <c r="X44" s="172">
        <f>COUNTIFS('1. All Data'!$AB$3:$AB$133,"Communities and Housing Standards",'1. All Data'!$V$3:$V$133,"Numerical Outturn Within 10% Tolerance")</f>
        <v>0</v>
      </c>
      <c r="Y44" s="170" t="e">
        <f>X44/X53</f>
        <v>#DIV/0!</v>
      </c>
      <c r="Z44" s="363" t="e">
        <f>SUM(Y44:Y46)</f>
        <v>#DIV/0!</v>
      </c>
      <c r="AA44" s="170" t="e">
        <f>X44/X54</f>
        <v>#DIV/0!</v>
      </c>
      <c r="AB44" s="364" t="e">
        <f>SUM(AA44:AA46)</f>
        <v>#DIV/0!</v>
      </c>
      <c r="AC44" s="168"/>
    </row>
    <row r="45" spans="2:29" ht="16.5" customHeight="1">
      <c r="B45" s="399"/>
      <c r="C45" s="402"/>
      <c r="D45" s="407"/>
      <c r="E45" s="407"/>
      <c r="F45" s="393"/>
      <c r="G45" s="396"/>
      <c r="I45" s="399"/>
      <c r="J45" s="402"/>
      <c r="K45" s="407"/>
      <c r="L45" s="407"/>
      <c r="M45" s="393"/>
      <c r="N45" s="396"/>
      <c r="P45" s="399"/>
      <c r="Q45" s="402"/>
      <c r="R45" s="407"/>
      <c r="S45" s="407"/>
      <c r="T45" s="393"/>
      <c r="U45" s="396"/>
      <c r="W45" s="171" t="s">
        <v>28</v>
      </c>
      <c r="X45" s="172">
        <f>COUNTIFS('1. All Data'!$AB$3:$AB$133,"Communities and Housing Standards",'1. All Data'!$V$3:$V$133,"Target Partially Met")</f>
        <v>0</v>
      </c>
      <c r="Y45" s="170" t="e">
        <f>X45/X53</f>
        <v>#DIV/0!</v>
      </c>
      <c r="Z45" s="363"/>
      <c r="AA45" s="170" t="e">
        <f>X45/X54</f>
        <v>#DIV/0!</v>
      </c>
      <c r="AB45" s="364"/>
      <c r="AC45" s="168"/>
    </row>
    <row r="46" spans="2:29" ht="16.5" customHeight="1">
      <c r="B46" s="400"/>
      <c r="C46" s="403"/>
      <c r="D46" s="408"/>
      <c r="E46" s="408"/>
      <c r="F46" s="394"/>
      <c r="G46" s="397"/>
      <c r="I46" s="400"/>
      <c r="J46" s="403"/>
      <c r="K46" s="408"/>
      <c r="L46" s="408"/>
      <c r="M46" s="394"/>
      <c r="N46" s="397"/>
      <c r="P46" s="400"/>
      <c r="Q46" s="403"/>
      <c r="R46" s="408"/>
      <c r="S46" s="408"/>
      <c r="T46" s="394"/>
      <c r="U46" s="397"/>
      <c r="W46" s="171" t="s">
        <v>31</v>
      </c>
      <c r="X46" s="172">
        <f>COUNTIFS('1. All Data'!$AB$3:$AB$133,"Communities and Housing Standards",'1. All Data'!$V$3:$V$133,"Completion Date Within Reasonable Tolerance")</f>
        <v>0</v>
      </c>
      <c r="Y46" s="170" t="e">
        <f>X46/X53</f>
        <v>#DIV/0!</v>
      </c>
      <c r="Z46" s="363"/>
      <c r="AA46" s="170" t="e">
        <f>X46/X54</f>
        <v>#DIV/0!</v>
      </c>
      <c r="AB46" s="364"/>
      <c r="AC46" s="168"/>
    </row>
    <row r="47" spans="2:29" ht="22.5" customHeight="1">
      <c r="B47" s="214" t="s">
        <v>36</v>
      </c>
      <c r="C47" s="211">
        <f>COUNTIFS('1. All Data'!$AB$3:$AB$133,"Communities and Housing Standards",'1. All Data'!$H$3:$H$133,"Completed Behind Schedule")</f>
        <v>0</v>
      </c>
      <c r="D47" s="212">
        <f>C47/C53</f>
        <v>0</v>
      </c>
      <c r="E47" s="404">
        <f>D47+D48</f>
        <v>0</v>
      </c>
      <c r="F47" s="213">
        <f>C47/C54</f>
        <v>0</v>
      </c>
      <c r="G47" s="405">
        <f>F47+F48</f>
        <v>0</v>
      </c>
      <c r="I47" s="214" t="s">
        <v>36</v>
      </c>
      <c r="J47" s="211">
        <f>COUNTIFS('1. All Data'!$AB$3:$AB$133,"Communities and Housing Standards",'1. All Data'!$M$3:$M$133,"Completed Behind Schedule")</f>
        <v>0</v>
      </c>
      <c r="K47" s="212">
        <f>J47/J53</f>
        <v>0</v>
      </c>
      <c r="L47" s="404">
        <f>K47+K48</f>
        <v>0</v>
      </c>
      <c r="M47" s="213">
        <f>J47/J54</f>
        <v>0</v>
      </c>
      <c r="N47" s="405">
        <f>M47+M48</f>
        <v>0</v>
      </c>
      <c r="P47" s="214" t="s">
        <v>36</v>
      </c>
      <c r="Q47" s="211">
        <f>COUNTIFS('1. All Data'!$AB$3:$AB$133,"Communities and Housing Standards",'1. All Data'!$R$3:$R$133,"Completed Behind Schedule")</f>
        <v>0</v>
      </c>
      <c r="R47" s="212" t="e">
        <f>Q47/Q53</f>
        <v>#DIV/0!</v>
      </c>
      <c r="S47" s="404" t="e">
        <f>R47+R48</f>
        <v>#DIV/0!</v>
      </c>
      <c r="T47" s="213" t="e">
        <f>Q47/Q54</f>
        <v>#DIV/0!</v>
      </c>
      <c r="U47" s="405" t="e">
        <f>T47+T48</f>
        <v>#DIV/0!</v>
      </c>
      <c r="W47" s="173" t="s">
        <v>30</v>
      </c>
      <c r="X47" s="211">
        <f>COUNTIFS('1. All Data'!$AB$3:$AB$133,"Communities and Housing Standards",'1. All Data'!$V$3:$V$133,"Completed Significantly After Target Deadline")</f>
        <v>0</v>
      </c>
      <c r="Y47" s="212" t="e">
        <f>X47/X53</f>
        <v>#DIV/0!</v>
      </c>
      <c r="Z47" s="404" t="e">
        <f>Y47+Y48</f>
        <v>#DIV/0!</v>
      </c>
      <c r="AA47" s="212" t="e">
        <f>X47/X54</f>
        <v>#DIV/0!</v>
      </c>
      <c r="AB47" s="365" t="e">
        <f>AA47+AA48</f>
        <v>#DIV/0!</v>
      </c>
      <c r="AC47" s="168"/>
    </row>
    <row r="48" spans="2:29" ht="22.5" customHeight="1">
      <c r="B48" s="214" t="s">
        <v>29</v>
      </c>
      <c r="C48" s="211">
        <f>COUNTIFS('1. All Data'!$AB$3:$AB$133,"Communities and Housing Standards",'1. All Data'!$H$3:$H$133,"Off Target")</f>
        <v>0</v>
      </c>
      <c r="D48" s="212">
        <f>C48/C53</f>
        <v>0</v>
      </c>
      <c r="E48" s="404"/>
      <c r="F48" s="213">
        <f>C48/C54</f>
        <v>0</v>
      </c>
      <c r="G48" s="405"/>
      <c r="I48" s="214" t="s">
        <v>29</v>
      </c>
      <c r="J48" s="211">
        <f>COUNTIFS('1. All Data'!$AB$3:$AB$133,"Communities and Housing Standards",'1. All Data'!$M$3:$M$133,"Off Target")</f>
        <v>0</v>
      </c>
      <c r="K48" s="212">
        <f>J48/J53</f>
        <v>0</v>
      </c>
      <c r="L48" s="404"/>
      <c r="M48" s="213">
        <f>J48/J54</f>
        <v>0</v>
      </c>
      <c r="N48" s="405"/>
      <c r="P48" s="214" t="s">
        <v>29</v>
      </c>
      <c r="Q48" s="211">
        <f>COUNTIFS('1. All Data'!$AB$3:$AB$133,"Communities and Housing Standards",'1. All Data'!$R$3:$R$133,"Off Target")</f>
        <v>0</v>
      </c>
      <c r="R48" s="212" t="e">
        <f>Q48/Q53</f>
        <v>#DIV/0!</v>
      </c>
      <c r="S48" s="404"/>
      <c r="T48" s="213" t="e">
        <f>Q48/Q54</f>
        <v>#DIV/0!</v>
      </c>
      <c r="U48" s="405"/>
      <c r="W48" s="173" t="s">
        <v>29</v>
      </c>
      <c r="X48" s="211">
        <f>COUNTIFS('1. All Data'!$AB$3:$AB$133,"Communities and Housing Standards",'1. All Data'!$V$3:$V$133,"Off Target")</f>
        <v>0</v>
      </c>
      <c r="Y48" s="212" t="e">
        <f>X48/X53</f>
        <v>#DIV/0!</v>
      </c>
      <c r="Z48" s="404"/>
      <c r="AA48" s="212" t="e">
        <f>X48/X54</f>
        <v>#DIV/0!</v>
      </c>
      <c r="AB48" s="365"/>
      <c r="AC48" s="168"/>
    </row>
    <row r="49" spans="2:29" ht="15.75" customHeight="1">
      <c r="B49" s="215" t="s">
        <v>53</v>
      </c>
      <c r="C49" s="211">
        <f>COUNTIFS('1. All Data'!$AB$3:$AB$133,"Communities and Housing Standards",'1. All Data'!$H$3:$H$133,"Not yet due")</f>
        <v>8</v>
      </c>
      <c r="D49" s="216">
        <f>C49/C53</f>
        <v>0.23529411764705882</v>
      </c>
      <c r="E49" s="216">
        <f>D49</f>
        <v>0.23529411764705882</v>
      </c>
      <c r="F49" s="217"/>
      <c r="G49" s="59"/>
      <c r="I49" s="215" t="s">
        <v>53</v>
      </c>
      <c r="J49" s="211">
        <f>COUNTIFS('1. All Data'!$AB$3:$AB$133,"Communities and Housing Standards",'1. All Data'!$M$3:$M$133,"Not yet due")</f>
        <v>2</v>
      </c>
      <c r="K49" s="216">
        <f>J49/J53</f>
        <v>5.8823529411764705E-2</v>
      </c>
      <c r="L49" s="216">
        <f>K49</f>
        <v>5.8823529411764705E-2</v>
      </c>
      <c r="M49" s="217"/>
      <c r="N49" s="59"/>
      <c r="P49" s="215" t="s">
        <v>53</v>
      </c>
      <c r="Q49" s="211">
        <f>COUNTIFS('1. All Data'!$AB$3:$AB$133,"Communities and Housing Standards",'1. All Data'!$R$3:$R$133,"Not yet due")</f>
        <v>0</v>
      </c>
      <c r="R49" s="216" t="e">
        <f>Q49/Q53</f>
        <v>#DIV/0!</v>
      </c>
      <c r="S49" s="216" t="e">
        <f>R49</f>
        <v>#DIV/0!</v>
      </c>
      <c r="T49" s="217"/>
      <c r="U49" s="59"/>
      <c r="W49" s="174" t="s">
        <v>53</v>
      </c>
      <c r="X49" s="211">
        <f>COUNTIFS('1. All Data'!$AB$3:$AB$133,"Communities and Housing Standards",'1. All Data'!$V$3:$V$133,"Not yet due")</f>
        <v>0</v>
      </c>
      <c r="Y49" s="216" t="e">
        <f>X49/X53</f>
        <v>#DIV/0!</v>
      </c>
      <c r="Z49" s="216" t="e">
        <f>Y49</f>
        <v>#DIV/0!</v>
      </c>
      <c r="AA49" s="176"/>
      <c r="AB49" s="59"/>
      <c r="AC49" s="168"/>
    </row>
    <row r="50" spans="2:29" ht="15.75" customHeight="1">
      <c r="B50" s="215" t="s">
        <v>24</v>
      </c>
      <c r="C50" s="211">
        <f>COUNTIFS('1. All Data'!$AB$3:$AB$133,"Communities and Housing Standards",'1. All Data'!$H$3:$H$133,"Update not provided")</f>
        <v>0</v>
      </c>
      <c r="D50" s="216">
        <f>C50/C53</f>
        <v>0</v>
      </c>
      <c r="E50" s="216">
        <f>D50</f>
        <v>0</v>
      </c>
      <c r="F50" s="217"/>
      <c r="G50" s="2"/>
      <c r="I50" s="215" t="s">
        <v>24</v>
      </c>
      <c r="J50" s="211">
        <f>COUNTIFS('1. All Data'!$AB$3:$AB$133,"Communities and Housing Standards",'1. All Data'!$M$3:$M$133,"Update not provided")</f>
        <v>0</v>
      </c>
      <c r="K50" s="216">
        <f>J50/J53</f>
        <v>0</v>
      </c>
      <c r="L50" s="216">
        <f>K50</f>
        <v>0</v>
      </c>
      <c r="M50" s="217"/>
      <c r="N50" s="2"/>
      <c r="P50" s="215" t="s">
        <v>24</v>
      </c>
      <c r="Q50" s="211">
        <f>COUNTIFS('1. All Data'!$AB$3:$AB$133,"Communities and Housing Standards",'1. All Data'!$R$3:$R$133,"Update not provided")</f>
        <v>0</v>
      </c>
      <c r="R50" s="216" t="e">
        <f>Q50/Q53</f>
        <v>#DIV/0!</v>
      </c>
      <c r="S50" s="216" t="e">
        <f>R50</f>
        <v>#DIV/0!</v>
      </c>
      <c r="T50" s="217"/>
      <c r="U50" s="2"/>
      <c r="W50" s="174" t="s">
        <v>24</v>
      </c>
      <c r="X50" s="211">
        <f>COUNTIFS('1. All Data'!$AB$3:$AB$133,"Communities and Housing Standards",'1. All Data'!$V$3:$V$133,"Update not provided")</f>
        <v>0</v>
      </c>
      <c r="Y50" s="216" t="e">
        <f>X50/X53</f>
        <v>#DIV/0!</v>
      </c>
      <c r="Z50" s="216" t="e">
        <f>Y50</f>
        <v>#DIV/0!</v>
      </c>
      <c r="AA50" s="176"/>
      <c r="AB50" s="2"/>
      <c r="AC50" s="168"/>
    </row>
    <row r="51" spans="2:29" ht="15.75" customHeight="1">
      <c r="B51" s="218" t="s">
        <v>32</v>
      </c>
      <c r="C51" s="211">
        <f>COUNTIFS('1. All Data'!$AB$3:$AB$133,"Communities and Housing Standards",'1. All Data'!$H$3:$H$133,"Deferred")</f>
        <v>0</v>
      </c>
      <c r="D51" s="219">
        <f>C51/C53</f>
        <v>0</v>
      </c>
      <c r="E51" s="219">
        <f>D51</f>
        <v>0</v>
      </c>
      <c r="F51" s="220"/>
      <c r="G51" s="59"/>
      <c r="I51" s="218" t="s">
        <v>32</v>
      </c>
      <c r="J51" s="211">
        <f>COUNTIFS('1. All Data'!$AB$3:$AB$133,"Communities and Housing Standards",'1. All Data'!$M$3:$M$133,"Deferred")</f>
        <v>0</v>
      </c>
      <c r="K51" s="219">
        <f>J51/J53</f>
        <v>0</v>
      </c>
      <c r="L51" s="219">
        <f>K51</f>
        <v>0</v>
      </c>
      <c r="M51" s="220"/>
      <c r="N51" s="59"/>
      <c r="P51" s="218" t="s">
        <v>32</v>
      </c>
      <c r="Q51" s="211">
        <f>COUNTIFS('1. All Data'!$AB$3:$AB$133,"Communities and Housing Standards",'1. All Data'!$R$3:$R$133,"Deferred")</f>
        <v>0</v>
      </c>
      <c r="R51" s="219" t="e">
        <f>Q51/Q53</f>
        <v>#DIV/0!</v>
      </c>
      <c r="S51" s="219" t="e">
        <f>R51</f>
        <v>#DIV/0!</v>
      </c>
      <c r="T51" s="220"/>
      <c r="U51" s="59"/>
      <c r="W51" s="177" t="s">
        <v>32</v>
      </c>
      <c r="X51" s="211">
        <f>COUNTIFS('1. All Data'!$AB$3:$AB$133,"Communities and Housing Standards",'1. All Data'!$V$3:$V$133,"Deferred")</f>
        <v>0</v>
      </c>
      <c r="Y51" s="219" t="e">
        <f>X51/X53</f>
        <v>#DIV/0!</v>
      </c>
      <c r="Z51" s="219" t="e">
        <f>Y51</f>
        <v>#DIV/0!</v>
      </c>
      <c r="AA51" s="179"/>
      <c r="AB51" s="59"/>
      <c r="AC51" s="168"/>
    </row>
    <row r="52" spans="2:29" ht="15.75" customHeight="1">
      <c r="B52" s="218" t="s">
        <v>33</v>
      </c>
      <c r="C52" s="211">
        <f>COUNTIFS('1. All Data'!$AB$3:$AB$133,"Communities and Housing Standards",'1. All Data'!$H$3:$H$133,"Deleted")</f>
        <v>0</v>
      </c>
      <c r="D52" s="219">
        <f>C52/C53</f>
        <v>0</v>
      </c>
      <c r="E52" s="219">
        <f>D52</f>
        <v>0</v>
      </c>
      <c r="F52" s="220"/>
      <c r="G52" s="30"/>
      <c r="I52" s="218" t="s">
        <v>33</v>
      </c>
      <c r="J52" s="211">
        <f>COUNTIFS('1. All Data'!$AB$3:$AB$133,"Communities and Housing Standards",'1. All Data'!$M$3:$M$133,"Deleted")</f>
        <v>0</v>
      </c>
      <c r="K52" s="219">
        <f>J52/J53</f>
        <v>0</v>
      </c>
      <c r="L52" s="219">
        <f>K52</f>
        <v>0</v>
      </c>
      <c r="M52" s="220"/>
      <c r="N52" s="30"/>
      <c r="P52" s="218" t="s">
        <v>33</v>
      </c>
      <c r="Q52" s="211">
        <f>COUNTIFS('1. All Data'!$AB$3:$AB$133,"Communities and Housing Standards",'1. All Data'!$R$3:$R$133,"Deleted")</f>
        <v>0</v>
      </c>
      <c r="R52" s="219" t="e">
        <f>Q52/Q53</f>
        <v>#DIV/0!</v>
      </c>
      <c r="S52" s="219" t="e">
        <f>R52</f>
        <v>#DIV/0!</v>
      </c>
      <c r="T52" s="220"/>
      <c r="U52" s="30"/>
      <c r="W52" s="177" t="s">
        <v>33</v>
      </c>
      <c r="X52" s="211">
        <f>COUNTIFS('1. All Data'!$AB$3:$AB$133,"Communities and Housing Standards",'1. All Data'!$V$3:$V$133,"Deleted")</f>
        <v>0</v>
      </c>
      <c r="Y52" s="219" t="e">
        <f>X52/X53</f>
        <v>#DIV/0!</v>
      </c>
      <c r="Z52" s="219" t="e">
        <f>Y52</f>
        <v>#DIV/0!</v>
      </c>
      <c r="AA52" s="179"/>
      <c r="AB52" s="3"/>
      <c r="AC52" s="168"/>
    </row>
    <row r="53" spans="2:29" ht="15.75" customHeight="1">
      <c r="B53" s="221" t="s">
        <v>55</v>
      </c>
      <c r="C53" s="222">
        <f>SUM(C42:C52)</f>
        <v>34</v>
      </c>
      <c r="D53" s="179"/>
      <c r="E53" s="179"/>
      <c r="F53" s="223"/>
      <c r="G53" s="59"/>
      <c r="I53" s="221" t="s">
        <v>55</v>
      </c>
      <c r="J53" s="222">
        <f>SUM(J42:J52)</f>
        <v>34</v>
      </c>
      <c r="K53" s="179"/>
      <c r="L53" s="179"/>
      <c r="M53" s="223"/>
      <c r="N53" s="59"/>
      <c r="P53" s="221" t="s">
        <v>55</v>
      </c>
      <c r="Q53" s="222">
        <f>SUM(Q42:Q52)</f>
        <v>0</v>
      </c>
      <c r="R53" s="179"/>
      <c r="S53" s="179"/>
      <c r="T53" s="223"/>
      <c r="U53" s="59"/>
      <c r="W53" s="180" t="s">
        <v>55</v>
      </c>
      <c r="X53" s="222">
        <f>SUM(X42:X52)</f>
        <v>0</v>
      </c>
      <c r="Y53" s="179"/>
      <c r="Z53" s="179"/>
      <c r="AA53" s="59"/>
      <c r="AB53" s="59"/>
      <c r="AC53" s="168"/>
    </row>
    <row r="54" spans="2:29" ht="15.75" customHeight="1">
      <c r="B54" s="221" t="s">
        <v>56</v>
      </c>
      <c r="C54" s="222">
        <f>C53-C52-C51-C50-C49</f>
        <v>26</v>
      </c>
      <c r="D54" s="59"/>
      <c r="E54" s="59"/>
      <c r="F54" s="223"/>
      <c r="G54" s="59"/>
      <c r="I54" s="221" t="s">
        <v>56</v>
      </c>
      <c r="J54" s="222">
        <f>J53-J52-J51-J50-J49</f>
        <v>32</v>
      </c>
      <c r="K54" s="59"/>
      <c r="L54" s="59"/>
      <c r="M54" s="223"/>
      <c r="N54" s="59"/>
      <c r="P54" s="221" t="s">
        <v>56</v>
      </c>
      <c r="Q54" s="222">
        <f>Q53-Q52-Q51-Q50-Q49</f>
        <v>0</v>
      </c>
      <c r="R54" s="59"/>
      <c r="S54" s="59"/>
      <c r="T54" s="223"/>
      <c r="U54" s="59"/>
      <c r="W54" s="180" t="s">
        <v>56</v>
      </c>
      <c r="X54" s="222">
        <f>X53-X52-X51-X50-X49</f>
        <v>0</v>
      </c>
      <c r="Y54" s="59"/>
      <c r="Z54" s="59"/>
      <c r="AA54" s="59"/>
      <c r="AB54" s="59"/>
      <c r="AC54" s="168"/>
    </row>
    <row r="55" spans="2:29" ht="15.75" customHeight="1">
      <c r="W55" s="182"/>
      <c r="AA55" s="2"/>
      <c r="AC55" s="168"/>
    </row>
    <row r="56" spans="2:29" ht="15.75" customHeight="1">
      <c r="W56" s="167"/>
      <c r="X56" s="225"/>
      <c r="Y56" s="167"/>
      <c r="Z56" s="167"/>
      <c r="AA56" s="167"/>
      <c r="AB56" s="189"/>
      <c r="AC56" s="168"/>
    </row>
    <row r="57" spans="2:29" ht="15.75" customHeight="1">
      <c r="W57" s="226"/>
      <c r="X57" s="227"/>
      <c r="Y57" s="59"/>
      <c r="Z57" s="59"/>
      <c r="AA57" s="59"/>
      <c r="AB57" s="179"/>
      <c r="AC57" s="168"/>
    </row>
    <row r="58" spans="2:29" s="168" customFormat="1" ht="15.6">
      <c r="B58" s="228" t="s">
        <v>478</v>
      </c>
      <c r="C58" s="207"/>
      <c r="D58" s="207"/>
      <c r="E58" s="207"/>
      <c r="F58" s="208"/>
      <c r="G58" s="207"/>
      <c r="I58" s="228" t="s">
        <v>478</v>
      </c>
      <c r="J58" s="207"/>
      <c r="K58" s="207"/>
      <c r="L58" s="207"/>
      <c r="M58" s="208"/>
      <c r="N58" s="207"/>
      <c r="P58" s="228" t="s">
        <v>478</v>
      </c>
      <c r="Q58" s="207"/>
      <c r="R58" s="207"/>
      <c r="S58" s="207"/>
      <c r="T58" s="208"/>
      <c r="U58" s="207"/>
      <c r="W58" s="228" t="s">
        <v>478</v>
      </c>
      <c r="X58" s="207"/>
      <c r="Y58" s="207"/>
      <c r="Z58" s="207"/>
      <c r="AA58" s="208"/>
      <c r="AB58" s="207"/>
    </row>
    <row r="59" spans="2:29" ht="41.25" customHeight="1">
      <c r="B59" s="209" t="s">
        <v>46</v>
      </c>
      <c r="C59" s="210" t="s">
        <v>47</v>
      </c>
      <c r="D59" s="210" t="s">
        <v>48</v>
      </c>
      <c r="E59" s="210" t="s">
        <v>49</v>
      </c>
      <c r="F59" s="209" t="s">
        <v>50</v>
      </c>
      <c r="G59" s="210" t="s">
        <v>51</v>
      </c>
      <c r="I59" s="209" t="s">
        <v>46</v>
      </c>
      <c r="J59" s="210" t="s">
        <v>47</v>
      </c>
      <c r="K59" s="210" t="s">
        <v>48</v>
      </c>
      <c r="L59" s="210" t="s">
        <v>49</v>
      </c>
      <c r="M59" s="209" t="s">
        <v>50</v>
      </c>
      <c r="N59" s="210" t="s">
        <v>51</v>
      </c>
      <c r="P59" s="209" t="s">
        <v>46</v>
      </c>
      <c r="Q59" s="210" t="s">
        <v>47</v>
      </c>
      <c r="R59" s="210" t="s">
        <v>48</v>
      </c>
      <c r="S59" s="210" t="s">
        <v>49</v>
      </c>
      <c r="T59" s="209" t="s">
        <v>50</v>
      </c>
      <c r="U59" s="210" t="s">
        <v>51</v>
      </c>
      <c r="W59" s="166" t="s">
        <v>46</v>
      </c>
      <c r="X59" s="166" t="s">
        <v>47</v>
      </c>
      <c r="Y59" s="166" t="s">
        <v>48</v>
      </c>
      <c r="Z59" s="166" t="s">
        <v>49</v>
      </c>
      <c r="AA59" s="166" t="s">
        <v>50</v>
      </c>
      <c r="AB59" s="166" t="s">
        <v>51</v>
      </c>
      <c r="AC59" s="168"/>
    </row>
    <row r="60" spans="2:29" ht="27.75" customHeight="1">
      <c r="B60" s="233" t="s">
        <v>52</v>
      </c>
      <c r="C60" s="211">
        <f>COUNTIFS('1. All Data'!$AB$3:$AB$133,"Environment and Climate Change",'1. All Data'!$H$3:$H$133,"Fully Achieved")</f>
        <v>2</v>
      </c>
      <c r="D60" s="212">
        <f>C60/C71</f>
        <v>7.6923076923076927E-2</v>
      </c>
      <c r="E60" s="404">
        <f>D60+D61</f>
        <v>0.53846153846153855</v>
      </c>
      <c r="F60" s="213">
        <f>C60/C72</f>
        <v>0.14285714285714285</v>
      </c>
      <c r="G60" s="409">
        <f>F60+F61</f>
        <v>1</v>
      </c>
      <c r="I60" s="233" t="s">
        <v>52</v>
      </c>
      <c r="J60" s="211">
        <f>COUNTIFS('1. All Data'!$AB$3:$AB$133,"Environment and Climate Change",'1. All Data'!$M$3:$M$133,"Fully Achieved")</f>
        <v>10</v>
      </c>
      <c r="K60" s="212">
        <f>J60/J71</f>
        <v>0.38461538461538464</v>
      </c>
      <c r="L60" s="404">
        <f>K60+K61</f>
        <v>0.88461538461538458</v>
      </c>
      <c r="M60" s="213">
        <f>J60/J72</f>
        <v>0.43478260869565216</v>
      </c>
      <c r="N60" s="409">
        <f>M60+M61</f>
        <v>1</v>
      </c>
      <c r="P60" s="233" t="s">
        <v>52</v>
      </c>
      <c r="Q60" s="211">
        <f>COUNTIFS('1. All Data'!$AB$3:$AB$133,"Environment and Climate Change",'1. All Data'!$R$3:$R$133,"Fully Achieved")</f>
        <v>0</v>
      </c>
      <c r="R60" s="212" t="e">
        <f>Q60/Q71</f>
        <v>#DIV/0!</v>
      </c>
      <c r="S60" s="404" t="e">
        <f>R60+R61</f>
        <v>#DIV/0!</v>
      </c>
      <c r="T60" s="213" t="e">
        <f>Q60/Q72</f>
        <v>#DIV/0!</v>
      </c>
      <c r="U60" s="409" t="e">
        <f>T60+T61</f>
        <v>#DIV/0!</v>
      </c>
      <c r="W60" s="233" t="s">
        <v>52</v>
      </c>
      <c r="X60" s="211">
        <f>COUNTIFS('1. All Data'!$AB$3:$AB$133,"Environment and Climate Change",'1. All Data'!$V$3:$V$133,"Fully Achieved")</f>
        <v>0</v>
      </c>
      <c r="Y60" s="212" t="e">
        <f>X60/X71</f>
        <v>#DIV/0!</v>
      </c>
      <c r="Z60" s="404" t="e">
        <f>Y60+Y61</f>
        <v>#DIV/0!</v>
      </c>
      <c r="AA60" s="212" t="e">
        <f>X60/X72</f>
        <v>#DIV/0!</v>
      </c>
      <c r="AB60" s="378" t="e">
        <f>AA60+AA61</f>
        <v>#DIV/0!</v>
      </c>
      <c r="AC60" s="168"/>
    </row>
    <row r="61" spans="2:29" ht="27.75" customHeight="1">
      <c r="B61" s="233" t="s">
        <v>34</v>
      </c>
      <c r="C61" s="211">
        <f>COUNTIFS('1. All Data'!$AB$3:$AB$133,"Environment and Climate Change",'1. All Data'!$H$3:$H$133,"On Track to be Achieved")</f>
        <v>12</v>
      </c>
      <c r="D61" s="212">
        <f>C61/C71</f>
        <v>0.46153846153846156</v>
      </c>
      <c r="E61" s="404"/>
      <c r="F61" s="213">
        <f>C61/C72</f>
        <v>0.8571428571428571</v>
      </c>
      <c r="G61" s="409"/>
      <c r="I61" s="233" t="s">
        <v>34</v>
      </c>
      <c r="J61" s="211">
        <f>COUNTIFS('1. All Data'!$AB$3:$AB$133,"Environment and Climate Change",'1. All Data'!$M$3:$M$133,"On Track to be Achieved")</f>
        <v>13</v>
      </c>
      <c r="K61" s="212">
        <f>J61/J71</f>
        <v>0.5</v>
      </c>
      <c r="L61" s="404"/>
      <c r="M61" s="213">
        <f>J61/J72</f>
        <v>0.56521739130434778</v>
      </c>
      <c r="N61" s="409"/>
      <c r="P61" s="233" t="s">
        <v>34</v>
      </c>
      <c r="Q61" s="211">
        <f>COUNTIFS('1. All Data'!$AB$3:$AB$133,"Environment and Climate Change",'1. All Data'!$R$3:$R$133,"On Track to be Achieved")</f>
        <v>0</v>
      </c>
      <c r="R61" s="212" t="e">
        <f>Q61/Q71</f>
        <v>#DIV/0!</v>
      </c>
      <c r="S61" s="404"/>
      <c r="T61" s="213" t="e">
        <f>Q61/Q72</f>
        <v>#DIV/0!</v>
      </c>
      <c r="U61" s="409"/>
      <c r="W61" s="233" t="s">
        <v>26</v>
      </c>
      <c r="X61" s="211">
        <f>COUNTIFS('1. All Data'!$AB$3:$AB$133,"Environment and Climate Change",'1. All Data'!$V$3:$V$133,"Numerical Outturn Within 5% Tolerance")</f>
        <v>0</v>
      </c>
      <c r="Y61" s="212" t="e">
        <f>X61/X71</f>
        <v>#DIV/0!</v>
      </c>
      <c r="Z61" s="404"/>
      <c r="AA61" s="212" t="e">
        <f>X61/X72</f>
        <v>#DIV/0!</v>
      </c>
      <c r="AB61" s="378"/>
      <c r="AC61" s="168"/>
    </row>
    <row r="62" spans="2:29" ht="21" customHeight="1">
      <c r="B62" s="398" t="s">
        <v>35</v>
      </c>
      <c r="C62" s="401">
        <f>COUNTIFS('1. All Data'!$AB$3:$AB$133,"Environment and Climate Change",'1. All Data'!$H$3:$H$133,"In Danger of Falling Behind Target")</f>
        <v>0</v>
      </c>
      <c r="D62" s="406">
        <f>C62/C71</f>
        <v>0</v>
      </c>
      <c r="E62" s="406">
        <f>D62</f>
        <v>0</v>
      </c>
      <c r="F62" s="392">
        <f>C62/C72</f>
        <v>0</v>
      </c>
      <c r="G62" s="395">
        <f>F62</f>
        <v>0</v>
      </c>
      <c r="I62" s="398" t="s">
        <v>35</v>
      </c>
      <c r="J62" s="401">
        <f>COUNTIFS('1. All Data'!$AB$3:$AB$133,"Environment and Climate Change",'1. All Data'!$M$3:$M$133,"In Danger of Falling Behind Target")</f>
        <v>0</v>
      </c>
      <c r="K62" s="406">
        <f>J62/J71</f>
        <v>0</v>
      </c>
      <c r="L62" s="406">
        <f>K62</f>
        <v>0</v>
      </c>
      <c r="M62" s="392">
        <f>J62/J72</f>
        <v>0</v>
      </c>
      <c r="N62" s="395">
        <f>M62</f>
        <v>0</v>
      </c>
      <c r="P62" s="398" t="s">
        <v>35</v>
      </c>
      <c r="Q62" s="401">
        <f>COUNTIFS('1. All Data'!$AB$3:$AB$133,"Environment and Climate Change",'1. All Data'!$R$3:$R$133,"In Danger of Falling Behind Target")</f>
        <v>0</v>
      </c>
      <c r="R62" s="406" t="e">
        <f>Q62/Q71</f>
        <v>#DIV/0!</v>
      </c>
      <c r="S62" s="406" t="e">
        <f>R62</f>
        <v>#DIV/0!</v>
      </c>
      <c r="T62" s="392" t="e">
        <f>Q62/Q72</f>
        <v>#DIV/0!</v>
      </c>
      <c r="U62" s="395" t="e">
        <f>T62</f>
        <v>#DIV/0!</v>
      </c>
      <c r="W62" s="171" t="s">
        <v>27</v>
      </c>
      <c r="X62" s="172">
        <f>COUNTIFS('1. All Data'!$AB$3:$AB$133,"Environment and Climate Change",'1. All Data'!$V$3:$V$133,"Numerical Outturn Within 10% Tolerance")</f>
        <v>0</v>
      </c>
      <c r="Y62" s="170" t="e">
        <f>X62/X71</f>
        <v>#DIV/0!</v>
      </c>
      <c r="Z62" s="363" t="e">
        <f>SUM(Y62:Y64)</f>
        <v>#DIV/0!</v>
      </c>
      <c r="AA62" s="170" t="e">
        <f>X62/X72</f>
        <v>#DIV/0!</v>
      </c>
      <c r="AB62" s="364" t="e">
        <f>SUM(AA62:AA64)</f>
        <v>#DIV/0!</v>
      </c>
      <c r="AC62" s="168"/>
    </row>
    <row r="63" spans="2:29" ht="18.75" customHeight="1">
      <c r="B63" s="399"/>
      <c r="C63" s="402"/>
      <c r="D63" s="407"/>
      <c r="E63" s="407"/>
      <c r="F63" s="393"/>
      <c r="G63" s="396"/>
      <c r="I63" s="399"/>
      <c r="J63" s="402"/>
      <c r="K63" s="407"/>
      <c r="L63" s="407"/>
      <c r="M63" s="393"/>
      <c r="N63" s="396"/>
      <c r="P63" s="399"/>
      <c r="Q63" s="402"/>
      <c r="R63" s="407"/>
      <c r="S63" s="407"/>
      <c r="T63" s="393"/>
      <c r="U63" s="396"/>
      <c r="W63" s="171" t="s">
        <v>28</v>
      </c>
      <c r="X63" s="172">
        <f>COUNTIFS('1. All Data'!$AB$3:$AB$133,"Environment and Climate Change",'1. All Data'!$V$3:$V$133,"Target Partially Met")</f>
        <v>0</v>
      </c>
      <c r="Y63" s="170" t="e">
        <f>X63/X71</f>
        <v>#DIV/0!</v>
      </c>
      <c r="Z63" s="363"/>
      <c r="AA63" s="170" t="e">
        <f>X63/X72</f>
        <v>#DIV/0!</v>
      </c>
      <c r="AB63" s="364"/>
      <c r="AC63" s="168"/>
    </row>
    <row r="64" spans="2:29" ht="20.25" customHeight="1">
      <c r="B64" s="400"/>
      <c r="C64" s="403"/>
      <c r="D64" s="408"/>
      <c r="E64" s="408"/>
      <c r="F64" s="394"/>
      <c r="G64" s="397"/>
      <c r="I64" s="400"/>
      <c r="J64" s="403"/>
      <c r="K64" s="408"/>
      <c r="L64" s="408"/>
      <c r="M64" s="394"/>
      <c r="N64" s="397"/>
      <c r="P64" s="400"/>
      <c r="Q64" s="403"/>
      <c r="R64" s="408"/>
      <c r="S64" s="408"/>
      <c r="T64" s="394"/>
      <c r="U64" s="397"/>
      <c r="W64" s="171" t="s">
        <v>31</v>
      </c>
      <c r="X64" s="172">
        <f>COUNTIFS('1. All Data'!$AB$3:$AB$133,"Environment and Climate Change",'1. All Data'!$V$3:$V$133,"Completion Date Within Reasonable Tolerance")</f>
        <v>0</v>
      </c>
      <c r="Y64" s="170" t="e">
        <f>X64/X71</f>
        <v>#DIV/0!</v>
      </c>
      <c r="Z64" s="363"/>
      <c r="AA64" s="170" t="e">
        <f>X64/X72</f>
        <v>#DIV/0!</v>
      </c>
      <c r="AB64" s="364"/>
      <c r="AC64" s="168"/>
    </row>
    <row r="65" spans="2:29" ht="30" customHeight="1">
      <c r="B65" s="214" t="s">
        <v>36</v>
      </c>
      <c r="C65" s="211">
        <f>COUNTIFS('1. All Data'!$AB$3:$AB$133,"Environment and Climate Change",'1. All Data'!$H$3:$H$133,"Completed Behind Schedule")</f>
        <v>0</v>
      </c>
      <c r="D65" s="212">
        <f>C65/C71</f>
        <v>0</v>
      </c>
      <c r="E65" s="404">
        <f>D65+D66</f>
        <v>0</v>
      </c>
      <c r="F65" s="213">
        <f>C65/C72</f>
        <v>0</v>
      </c>
      <c r="G65" s="405">
        <f>F65+F66</f>
        <v>0</v>
      </c>
      <c r="I65" s="214" t="s">
        <v>36</v>
      </c>
      <c r="J65" s="211">
        <f>COUNTIFS('1. All Data'!$AB$3:$AB$133,"Environment and Climate Change",'1. All Data'!$M$3:$M$133,"Completed Behind Schedule")</f>
        <v>0</v>
      </c>
      <c r="K65" s="212">
        <f>J65/J71</f>
        <v>0</v>
      </c>
      <c r="L65" s="404">
        <f>K65+K66</f>
        <v>0</v>
      </c>
      <c r="M65" s="213">
        <f>J65/J72</f>
        <v>0</v>
      </c>
      <c r="N65" s="405">
        <f>M65+M66</f>
        <v>0</v>
      </c>
      <c r="P65" s="214" t="s">
        <v>36</v>
      </c>
      <c r="Q65" s="211">
        <f>COUNTIFS('1. All Data'!$AB$3:$AB$133,"Environment and Climate Change",'1. All Data'!$R$3:$R$133,"Completed Behind Schedule")</f>
        <v>0</v>
      </c>
      <c r="R65" s="212" t="e">
        <f>Q65/Q71</f>
        <v>#DIV/0!</v>
      </c>
      <c r="S65" s="404" t="e">
        <f>R65+R66</f>
        <v>#DIV/0!</v>
      </c>
      <c r="T65" s="213" t="e">
        <f>Q65/Q72</f>
        <v>#DIV/0!</v>
      </c>
      <c r="U65" s="405" t="e">
        <f>T65+T66</f>
        <v>#DIV/0!</v>
      </c>
      <c r="W65" s="173" t="s">
        <v>30</v>
      </c>
      <c r="X65" s="211">
        <f>COUNTIFS('1. All Data'!$AB$3:$AB$133,"Environment and Climate Change",'1. All Data'!$V$3:$V$133,"Completed Significantly After Target Deadline")</f>
        <v>0</v>
      </c>
      <c r="Y65" s="212" t="e">
        <f>X65/X71</f>
        <v>#DIV/0!</v>
      </c>
      <c r="Z65" s="404" t="e">
        <f>Y65+Y66</f>
        <v>#DIV/0!</v>
      </c>
      <c r="AA65" s="170" t="e">
        <f>X65/X72</f>
        <v>#DIV/0!</v>
      </c>
      <c r="AB65" s="365" t="e">
        <f>AA65+AA66</f>
        <v>#DIV/0!</v>
      </c>
      <c r="AC65" s="168"/>
    </row>
    <row r="66" spans="2:29" ht="30" customHeight="1">
      <c r="B66" s="214" t="s">
        <v>29</v>
      </c>
      <c r="C66" s="211">
        <f>COUNTIFS('1. All Data'!$AB$3:$AB$133,"Environment and Climate Change",'1. All Data'!$H$3:$H$133,"Off Target")</f>
        <v>0</v>
      </c>
      <c r="D66" s="212">
        <f>C66/C71</f>
        <v>0</v>
      </c>
      <c r="E66" s="404"/>
      <c r="F66" s="213">
        <f>C66/C72</f>
        <v>0</v>
      </c>
      <c r="G66" s="405"/>
      <c r="I66" s="214" t="s">
        <v>29</v>
      </c>
      <c r="J66" s="211">
        <f>COUNTIFS('1. All Data'!$AB$3:$AB$133,"Environment and Climate Change",'1. All Data'!$M$3:$M$133,"Off Target")</f>
        <v>0</v>
      </c>
      <c r="K66" s="212">
        <f>J66/J71</f>
        <v>0</v>
      </c>
      <c r="L66" s="404"/>
      <c r="M66" s="213">
        <f>J66/J72</f>
        <v>0</v>
      </c>
      <c r="N66" s="405"/>
      <c r="P66" s="214" t="s">
        <v>29</v>
      </c>
      <c r="Q66" s="211">
        <f>COUNTIFS('1. All Data'!$AB$3:$AB$133,"Environment and Climate Change",'1. All Data'!$R$3:$R$133,"Off Target")</f>
        <v>0</v>
      </c>
      <c r="R66" s="212" t="e">
        <f>Q66/Q71</f>
        <v>#DIV/0!</v>
      </c>
      <c r="S66" s="404"/>
      <c r="T66" s="213" t="e">
        <f>Q66/Q72</f>
        <v>#DIV/0!</v>
      </c>
      <c r="U66" s="405"/>
      <c r="W66" s="173" t="s">
        <v>29</v>
      </c>
      <c r="X66" s="211">
        <f>COUNTIFS('1. All Data'!$AB$3:$AB$133,"Environment and Climate Change",'1. All Data'!$V$3:$V$133,"Off Target")</f>
        <v>0</v>
      </c>
      <c r="Y66" s="212" t="e">
        <f>X66/X71</f>
        <v>#DIV/0!</v>
      </c>
      <c r="Z66" s="404"/>
      <c r="AA66" s="170" t="e">
        <f>X66/X72</f>
        <v>#DIV/0!</v>
      </c>
      <c r="AB66" s="365"/>
      <c r="AC66" s="168"/>
    </row>
    <row r="67" spans="2:29" ht="15.75" customHeight="1">
      <c r="B67" s="215" t="s">
        <v>53</v>
      </c>
      <c r="C67" s="211">
        <f>COUNTIFS('1. All Data'!$AB$3:$AB$133,"Environment and Climate Change",'1. All Data'!$H$3:$H$133,"Not yet due")</f>
        <v>12</v>
      </c>
      <c r="D67" s="216">
        <f>C67/C71</f>
        <v>0.46153846153846156</v>
      </c>
      <c r="E67" s="216">
        <f>D67</f>
        <v>0.46153846153846156</v>
      </c>
      <c r="F67" s="217"/>
      <c r="G67" s="59"/>
      <c r="I67" s="215" t="s">
        <v>53</v>
      </c>
      <c r="J67" s="211">
        <f>COUNTIFS('1. All Data'!$AB$3:$AB$133,"Environment and Climate Change",'1. All Data'!$M$3:$M$133,"Not yet due")</f>
        <v>3</v>
      </c>
      <c r="K67" s="216">
        <f>J67/J71</f>
        <v>0.11538461538461539</v>
      </c>
      <c r="L67" s="216">
        <f>K67</f>
        <v>0.11538461538461539</v>
      </c>
      <c r="M67" s="217"/>
      <c r="N67" s="59"/>
      <c r="P67" s="215" t="s">
        <v>53</v>
      </c>
      <c r="Q67" s="211">
        <f>COUNTIFS('1. All Data'!$AB$3:$AB$133,"Environment and Climate Change",'1. All Data'!$R$3:$R$133,"Not yet due")</f>
        <v>0</v>
      </c>
      <c r="R67" s="216" t="e">
        <f>Q67/Q71</f>
        <v>#DIV/0!</v>
      </c>
      <c r="S67" s="216" t="e">
        <f>R67</f>
        <v>#DIV/0!</v>
      </c>
      <c r="T67" s="217"/>
      <c r="U67" s="59"/>
      <c r="W67" s="174" t="s">
        <v>53</v>
      </c>
      <c r="X67" s="211">
        <f>COUNTIFS('1. All Data'!$AB$3:$AB$133,"Environment and Climate Change",'1. All Data'!$V$3:$V$133,"Not yet due")</f>
        <v>0</v>
      </c>
      <c r="Y67" s="216" t="e">
        <f>X67/X71</f>
        <v>#DIV/0!</v>
      </c>
      <c r="Z67" s="216" t="e">
        <f>Y67</f>
        <v>#DIV/0!</v>
      </c>
      <c r="AA67" s="176"/>
      <c r="AB67" s="59"/>
      <c r="AC67" s="168"/>
    </row>
    <row r="68" spans="2:29" ht="15.75" customHeight="1">
      <c r="B68" s="215" t="s">
        <v>24</v>
      </c>
      <c r="C68" s="211">
        <f>COUNTIFS('1. All Data'!$AB$3:$AB$133,"Environment and Climate Change",'1. All Data'!$H$3:$H$133,"Update not provided")</f>
        <v>0</v>
      </c>
      <c r="D68" s="216">
        <f>C68/C71</f>
        <v>0</v>
      </c>
      <c r="E68" s="216">
        <f>D68</f>
        <v>0</v>
      </c>
      <c r="F68" s="217"/>
      <c r="G68" s="2"/>
      <c r="I68" s="215" t="s">
        <v>24</v>
      </c>
      <c r="J68" s="211">
        <f>COUNTIFS('1. All Data'!$AB$3:$AB$133,"Environment and Climate Change",'1. All Data'!$M$3:$M$133,"Update not provided")</f>
        <v>0</v>
      </c>
      <c r="K68" s="216">
        <f>J68/J71</f>
        <v>0</v>
      </c>
      <c r="L68" s="216">
        <f>K68</f>
        <v>0</v>
      </c>
      <c r="M68" s="217"/>
      <c r="N68" s="2"/>
      <c r="P68" s="215" t="s">
        <v>24</v>
      </c>
      <c r="Q68" s="211">
        <f>COUNTIFS('1. All Data'!$AB$3:$AB$133,"Environment and Climate Change",'1. All Data'!$R$3:$R$133,"Update not provided")</f>
        <v>0</v>
      </c>
      <c r="R68" s="216" t="e">
        <f>Q68/Q71</f>
        <v>#DIV/0!</v>
      </c>
      <c r="S68" s="216" t="e">
        <f>R68</f>
        <v>#DIV/0!</v>
      </c>
      <c r="T68" s="217"/>
      <c r="U68" s="2"/>
      <c r="W68" s="174" t="s">
        <v>24</v>
      </c>
      <c r="X68" s="211">
        <f>COUNTIFS('1. All Data'!$AB$3:$AB$133,"Environment and Climate Change",'1. All Data'!$V$3:$V$133,"Update not provided")</f>
        <v>0</v>
      </c>
      <c r="Y68" s="216" t="e">
        <f>X68/X71</f>
        <v>#DIV/0!</v>
      </c>
      <c r="Z68" s="216" t="e">
        <f>Y68</f>
        <v>#DIV/0!</v>
      </c>
      <c r="AA68" s="176"/>
      <c r="AB68" s="2"/>
      <c r="AC68" s="168"/>
    </row>
    <row r="69" spans="2:29" ht="15.75" customHeight="1">
      <c r="B69" s="218" t="s">
        <v>32</v>
      </c>
      <c r="C69" s="211">
        <f>COUNTIFS('1. All Data'!$AB$3:$AB$133,"Environment and Climate Change",'1. All Data'!$H$3:$H$133,"Deferred")</f>
        <v>0</v>
      </c>
      <c r="D69" s="219">
        <f>C69/C71</f>
        <v>0</v>
      </c>
      <c r="E69" s="219">
        <f>D69</f>
        <v>0</v>
      </c>
      <c r="F69" s="220"/>
      <c r="G69" s="59"/>
      <c r="I69" s="218" t="s">
        <v>32</v>
      </c>
      <c r="J69" s="211">
        <f>COUNTIFS('1. All Data'!$AB$3:$AB$133,"Environment and Climate Change",'1. All Data'!$M$3:$M$133,"Deferred")</f>
        <v>0</v>
      </c>
      <c r="K69" s="219">
        <f>J69/J71</f>
        <v>0</v>
      </c>
      <c r="L69" s="219">
        <f>K69</f>
        <v>0</v>
      </c>
      <c r="M69" s="220"/>
      <c r="N69" s="59"/>
      <c r="P69" s="218" t="s">
        <v>32</v>
      </c>
      <c r="Q69" s="211">
        <f>COUNTIFS('1. All Data'!$AB$3:$AB$133,"Environment and Climate Change",'1. All Data'!$R$3:$R$133,"Deferred")</f>
        <v>0</v>
      </c>
      <c r="R69" s="219" t="e">
        <f>Q69/Q71</f>
        <v>#DIV/0!</v>
      </c>
      <c r="S69" s="219" t="e">
        <f>R69</f>
        <v>#DIV/0!</v>
      </c>
      <c r="T69" s="220"/>
      <c r="U69" s="59"/>
      <c r="W69" s="177" t="s">
        <v>32</v>
      </c>
      <c r="X69" s="211">
        <f>COUNTIFS('1. All Data'!$AB$3:$AB$133,"Environment and Climate Change",'1. All Data'!$V$3:$V$133,"Deferred")</f>
        <v>0</v>
      </c>
      <c r="Y69" s="219" t="e">
        <f>X69/X71</f>
        <v>#DIV/0!</v>
      </c>
      <c r="Z69" s="219" t="e">
        <f>Y69</f>
        <v>#DIV/0!</v>
      </c>
      <c r="AA69" s="179"/>
      <c r="AB69" s="59"/>
      <c r="AC69" s="168"/>
    </row>
    <row r="70" spans="2:29" ht="15.75" customHeight="1">
      <c r="B70" s="218" t="s">
        <v>33</v>
      </c>
      <c r="C70" s="211">
        <f>COUNTIFS('1. All Data'!$AB$3:$AB$133,"Environment and Climate Change",'1. All Data'!$H$3:$H$133,"Deleted")</f>
        <v>0</v>
      </c>
      <c r="D70" s="219">
        <f>C70/C71</f>
        <v>0</v>
      </c>
      <c r="E70" s="219">
        <f>D70</f>
        <v>0</v>
      </c>
      <c r="F70" s="220"/>
      <c r="G70" s="30"/>
      <c r="I70" s="218" t="s">
        <v>33</v>
      </c>
      <c r="J70" s="211">
        <f>COUNTIFS('1. All Data'!$AB$3:$AB$133,"Environment and Climate Change",'1. All Data'!$M$3:$M$133,"Deleted")</f>
        <v>0</v>
      </c>
      <c r="K70" s="219">
        <f>J70/J71</f>
        <v>0</v>
      </c>
      <c r="L70" s="219">
        <f>K70</f>
        <v>0</v>
      </c>
      <c r="M70" s="220"/>
      <c r="N70" s="30"/>
      <c r="P70" s="218" t="s">
        <v>33</v>
      </c>
      <c r="Q70" s="211">
        <f>COUNTIFS('1. All Data'!$AB$3:$AB$133,"Environment and Climate Change",'1. All Data'!$R$3:$R$133,"Deleted")</f>
        <v>0</v>
      </c>
      <c r="R70" s="219" t="e">
        <f>Q70/Q71</f>
        <v>#DIV/0!</v>
      </c>
      <c r="S70" s="219" t="e">
        <f>R70</f>
        <v>#DIV/0!</v>
      </c>
      <c r="T70" s="220"/>
      <c r="U70" s="30"/>
      <c r="W70" s="177" t="s">
        <v>33</v>
      </c>
      <c r="X70" s="211">
        <f>COUNTIFS('1. All Data'!$AB$3:$AB$133,"Environment and Climate Change",'1. All Data'!$V$3:$V$133,"Deleted")</f>
        <v>0</v>
      </c>
      <c r="Y70" s="219" t="e">
        <f>X70/X71</f>
        <v>#DIV/0!</v>
      </c>
      <c r="Z70" s="219" t="e">
        <f>Y70</f>
        <v>#DIV/0!</v>
      </c>
      <c r="AA70" s="179"/>
      <c r="AB70" s="3"/>
      <c r="AC70" s="168"/>
    </row>
    <row r="71" spans="2:29" ht="15.75" customHeight="1">
      <c r="B71" s="221" t="s">
        <v>55</v>
      </c>
      <c r="C71" s="222">
        <f>SUM(C60:C70)</f>
        <v>26</v>
      </c>
      <c r="D71" s="179"/>
      <c r="E71" s="179"/>
      <c r="F71" s="223"/>
      <c r="G71" s="59"/>
      <c r="I71" s="221" t="s">
        <v>55</v>
      </c>
      <c r="J71" s="222">
        <f>SUM(J60:J70)</f>
        <v>26</v>
      </c>
      <c r="K71" s="179"/>
      <c r="L71" s="179"/>
      <c r="M71" s="223"/>
      <c r="N71" s="59"/>
      <c r="P71" s="221" t="s">
        <v>55</v>
      </c>
      <c r="Q71" s="222">
        <f>SUM(Q60:Q70)</f>
        <v>0</v>
      </c>
      <c r="R71" s="179"/>
      <c r="S71" s="179"/>
      <c r="T71" s="223"/>
      <c r="U71" s="59"/>
      <c r="W71" s="180" t="s">
        <v>55</v>
      </c>
      <c r="X71" s="222">
        <f>SUM(X60:X70)</f>
        <v>0</v>
      </c>
      <c r="Y71" s="179"/>
      <c r="Z71" s="179"/>
      <c r="AA71" s="59"/>
      <c r="AB71" s="59"/>
      <c r="AC71" s="168"/>
    </row>
    <row r="72" spans="2:29" ht="15.75" customHeight="1">
      <c r="B72" s="221" t="s">
        <v>56</v>
      </c>
      <c r="C72" s="222">
        <f>C71-C70-C69-C68-C67</f>
        <v>14</v>
      </c>
      <c r="D72" s="59"/>
      <c r="E72" s="59"/>
      <c r="F72" s="223"/>
      <c r="G72" s="59"/>
      <c r="I72" s="221" t="s">
        <v>56</v>
      </c>
      <c r="J72" s="222">
        <f>J71-J70-J69-J68-J67</f>
        <v>23</v>
      </c>
      <c r="K72" s="59"/>
      <c r="L72" s="59"/>
      <c r="M72" s="223"/>
      <c r="N72" s="59"/>
      <c r="P72" s="221" t="s">
        <v>56</v>
      </c>
      <c r="Q72" s="222">
        <f>Q71-Q70-Q69-Q68-Q67</f>
        <v>0</v>
      </c>
      <c r="R72" s="59"/>
      <c r="S72" s="59"/>
      <c r="T72" s="223"/>
      <c r="U72" s="59"/>
      <c r="W72" s="180" t="s">
        <v>56</v>
      </c>
      <c r="X72" s="222">
        <f>X71-X70-X69-X68-X67</f>
        <v>0</v>
      </c>
      <c r="Y72" s="59"/>
      <c r="Z72" s="59"/>
      <c r="AA72" s="59"/>
      <c r="AB72" s="59"/>
      <c r="AC72" s="168"/>
    </row>
    <row r="73" spans="2:29" ht="15.75" customHeight="1">
      <c r="W73" s="182"/>
      <c r="AA73" s="2"/>
      <c r="AC73" s="168"/>
    </row>
    <row r="74" spans="2:29" ht="15.75" customHeight="1">
      <c r="W74" s="167"/>
      <c r="X74" s="167"/>
      <c r="Y74" s="167"/>
      <c r="Z74" s="167"/>
      <c r="AA74" s="167"/>
      <c r="AB74" s="189"/>
      <c r="AC74" s="168"/>
    </row>
    <row r="75" spans="2:29" s="168" customFormat="1" ht="15.75" customHeight="1">
      <c r="B75" s="190"/>
      <c r="C75" s="167"/>
      <c r="D75" s="167"/>
      <c r="E75" s="167"/>
      <c r="F75" s="223"/>
      <c r="G75" s="167"/>
      <c r="I75" s="190"/>
      <c r="J75" s="167"/>
      <c r="K75" s="167"/>
      <c r="L75" s="167"/>
      <c r="M75" s="223"/>
      <c r="N75" s="167"/>
      <c r="P75" s="190"/>
      <c r="Q75" s="167"/>
      <c r="R75" s="167"/>
      <c r="S75" s="167"/>
      <c r="T75" s="223"/>
      <c r="U75" s="167"/>
      <c r="W75" s="167"/>
      <c r="X75" s="167"/>
      <c r="Y75" s="167"/>
      <c r="Z75" s="167"/>
      <c r="AA75" s="167"/>
      <c r="AB75" s="189"/>
    </row>
    <row r="76" spans="2:29" s="168" customFormat="1" ht="15.6">
      <c r="B76" s="228" t="s">
        <v>479</v>
      </c>
      <c r="C76" s="207"/>
      <c r="D76" s="207"/>
      <c r="E76" s="207"/>
      <c r="F76" s="208"/>
      <c r="G76" s="207"/>
      <c r="I76" s="228" t="s">
        <v>479</v>
      </c>
      <c r="J76" s="207"/>
      <c r="K76" s="207"/>
      <c r="L76" s="207"/>
      <c r="M76" s="208"/>
      <c r="N76" s="207"/>
      <c r="P76" s="228" t="s">
        <v>479</v>
      </c>
      <c r="Q76" s="207"/>
      <c r="R76" s="207"/>
      <c r="S76" s="207"/>
      <c r="T76" s="208"/>
      <c r="U76" s="207"/>
      <c r="W76" s="228" t="s">
        <v>479</v>
      </c>
      <c r="X76" s="207"/>
      <c r="Y76" s="207"/>
      <c r="Z76" s="207"/>
      <c r="AA76" s="208"/>
      <c r="AB76" s="207"/>
    </row>
    <row r="77" spans="2:29" ht="36" customHeight="1">
      <c r="B77" s="209" t="s">
        <v>46</v>
      </c>
      <c r="C77" s="210" t="s">
        <v>47</v>
      </c>
      <c r="D77" s="210" t="s">
        <v>48</v>
      </c>
      <c r="E77" s="210" t="s">
        <v>49</v>
      </c>
      <c r="F77" s="209" t="s">
        <v>50</v>
      </c>
      <c r="G77" s="210" t="s">
        <v>51</v>
      </c>
      <c r="I77" s="209" t="s">
        <v>46</v>
      </c>
      <c r="J77" s="210" t="s">
        <v>47</v>
      </c>
      <c r="K77" s="210" t="s">
        <v>48</v>
      </c>
      <c r="L77" s="210" t="s">
        <v>49</v>
      </c>
      <c r="M77" s="209" t="s">
        <v>50</v>
      </c>
      <c r="N77" s="210" t="s">
        <v>51</v>
      </c>
      <c r="P77" s="209" t="s">
        <v>46</v>
      </c>
      <c r="Q77" s="210" t="s">
        <v>47</v>
      </c>
      <c r="R77" s="210" t="s">
        <v>48</v>
      </c>
      <c r="S77" s="210" t="s">
        <v>49</v>
      </c>
      <c r="T77" s="209" t="s">
        <v>50</v>
      </c>
      <c r="U77" s="210" t="s">
        <v>51</v>
      </c>
      <c r="W77" s="166" t="s">
        <v>46</v>
      </c>
      <c r="X77" s="166" t="s">
        <v>47</v>
      </c>
      <c r="Y77" s="166" t="s">
        <v>48</v>
      </c>
      <c r="Z77" s="166" t="s">
        <v>49</v>
      </c>
      <c r="AA77" s="166" t="s">
        <v>50</v>
      </c>
      <c r="AB77" s="166" t="s">
        <v>51</v>
      </c>
      <c r="AC77" s="168"/>
    </row>
    <row r="78" spans="2:29" ht="18.75" customHeight="1">
      <c r="B78" s="233" t="s">
        <v>52</v>
      </c>
      <c r="C78" s="211">
        <f>COUNTIFS('1. All Data'!$AB$3:$AB$133,"Finance, Treasury Management &amp; Communications",'1. All Data'!$H$3:$H$133,"Fully Achieved")</f>
        <v>3</v>
      </c>
      <c r="D78" s="212">
        <f>C78/C89</f>
        <v>0.23076923076923078</v>
      </c>
      <c r="E78" s="404">
        <f>D78+D79</f>
        <v>0.53846153846153855</v>
      </c>
      <c r="F78" s="213">
        <f>C78/C90</f>
        <v>0.42857142857142855</v>
      </c>
      <c r="G78" s="409">
        <f>F78+F79</f>
        <v>1</v>
      </c>
      <c r="I78" s="233" t="s">
        <v>52</v>
      </c>
      <c r="J78" s="211">
        <f>COUNTIFS('1. All Data'!$AB$3:$AB$133,"Finance, Treasury Management &amp; Communications",'1. All Data'!$M$3:$M$133,"Fully Achieved")</f>
        <v>4</v>
      </c>
      <c r="K78" s="212">
        <f>J78/J89</f>
        <v>0.30769230769230771</v>
      </c>
      <c r="L78" s="404">
        <f>K78+K79</f>
        <v>0.69230769230769229</v>
      </c>
      <c r="M78" s="213">
        <f>J78/J90</f>
        <v>0.4</v>
      </c>
      <c r="N78" s="409">
        <f>M78+M79</f>
        <v>0.9</v>
      </c>
      <c r="P78" s="233" t="s">
        <v>52</v>
      </c>
      <c r="Q78" s="211">
        <f>COUNTIFS('1. All Data'!$AB$3:$AB$133,"Finance, Treasury Management &amp; Communications",'1. All Data'!$R$3:$R$133,"Fully Achieved")</f>
        <v>0</v>
      </c>
      <c r="R78" s="212" t="e">
        <f>Q78/Q89</f>
        <v>#DIV/0!</v>
      </c>
      <c r="S78" s="404" t="e">
        <f>R78+R79</f>
        <v>#DIV/0!</v>
      </c>
      <c r="T78" s="213" t="e">
        <f>Q78/Q90</f>
        <v>#DIV/0!</v>
      </c>
      <c r="U78" s="409" t="e">
        <f>T78+T79</f>
        <v>#DIV/0!</v>
      </c>
      <c r="W78" s="233" t="s">
        <v>52</v>
      </c>
      <c r="X78" s="211">
        <f>COUNTIFS('1. All Data'!$AB$3:$AB$133,"Finance, Treasury Management &amp; Communications",'1. All Data'!$V$3:$V$133,"Fully Achieved")</f>
        <v>0</v>
      </c>
      <c r="Y78" s="212" t="e">
        <f>X78/X89</f>
        <v>#DIV/0!</v>
      </c>
      <c r="Z78" s="404" t="e">
        <f>Y78+Y79</f>
        <v>#DIV/0!</v>
      </c>
      <c r="AA78" s="212" t="e">
        <f>X78/X90</f>
        <v>#DIV/0!</v>
      </c>
      <c r="AB78" s="378" t="e">
        <f>AA78+AA79</f>
        <v>#DIV/0!</v>
      </c>
      <c r="AC78" s="168"/>
    </row>
    <row r="79" spans="2:29" ht="18.75" customHeight="1">
      <c r="B79" s="233" t="s">
        <v>34</v>
      </c>
      <c r="C79" s="211">
        <f>COUNTIFS('1. All Data'!$AB$3:$AB$133,"Finance, Treasury Management &amp; Communications",'1. All Data'!$H$3:$H$133,"On Track to be Achieved")</f>
        <v>4</v>
      </c>
      <c r="D79" s="212">
        <f>C79/C89</f>
        <v>0.30769230769230771</v>
      </c>
      <c r="E79" s="404"/>
      <c r="F79" s="213">
        <f>C79/C90</f>
        <v>0.5714285714285714</v>
      </c>
      <c r="G79" s="409"/>
      <c r="I79" s="233" t="s">
        <v>34</v>
      </c>
      <c r="J79" s="211">
        <f>COUNTIFS('1. All Data'!$AB$3:$AB$133,"Finance, Treasury Management &amp; Communications",'1. All Data'!$M$3:$M$133,"On Track to be Achieved")</f>
        <v>5</v>
      </c>
      <c r="K79" s="212">
        <f>J79/J89</f>
        <v>0.38461538461538464</v>
      </c>
      <c r="L79" s="404"/>
      <c r="M79" s="213">
        <f>J79/J90</f>
        <v>0.5</v>
      </c>
      <c r="N79" s="409"/>
      <c r="P79" s="233" t="s">
        <v>34</v>
      </c>
      <c r="Q79" s="211">
        <f>COUNTIFS('1. All Data'!$AB$3:$AB$133,"Finance, Treasury Management &amp; Communications",'1. All Data'!$R$3:$R$133,"On Track to be Achieved")</f>
        <v>0</v>
      </c>
      <c r="R79" s="212" t="e">
        <f>Q79/Q89</f>
        <v>#DIV/0!</v>
      </c>
      <c r="S79" s="404"/>
      <c r="T79" s="213" t="e">
        <f>Q79/Q90</f>
        <v>#DIV/0!</v>
      </c>
      <c r="U79" s="409"/>
      <c r="W79" s="233" t="s">
        <v>26</v>
      </c>
      <c r="X79" s="211">
        <f>COUNTIFS('1. All Data'!$AB$3:$AB$133,"Finance, Treasury Management &amp; Communications",'1. All Data'!$V$3:$V$133,"Numerical Outturn Within 5% Tolerance")</f>
        <v>0</v>
      </c>
      <c r="Y79" s="212" t="e">
        <f>X79/X89</f>
        <v>#DIV/0!</v>
      </c>
      <c r="Z79" s="404"/>
      <c r="AA79" s="212" t="e">
        <f>X79/X90</f>
        <v>#DIV/0!</v>
      </c>
      <c r="AB79" s="378"/>
      <c r="AC79" s="168"/>
    </row>
    <row r="80" spans="2:29" ht="16.5" customHeight="1">
      <c r="B80" s="398" t="s">
        <v>35</v>
      </c>
      <c r="C80" s="401">
        <f>COUNTIFS('1. All Data'!$AB$3:$AB$133,"Finance, Treasury Management &amp; Communications",'1. All Data'!$H$3:$H$133,"In Danger of Falling Behind Target")</f>
        <v>0</v>
      </c>
      <c r="D80" s="406">
        <f>C80/C89</f>
        <v>0</v>
      </c>
      <c r="E80" s="406">
        <f>D80</f>
        <v>0</v>
      </c>
      <c r="F80" s="392">
        <f>C80/C90</f>
        <v>0</v>
      </c>
      <c r="G80" s="395">
        <f>F80</f>
        <v>0</v>
      </c>
      <c r="I80" s="398" t="s">
        <v>35</v>
      </c>
      <c r="J80" s="401">
        <f>COUNTIFS('1. All Data'!$AB$3:$AB$133,"Finance, Treasury Management &amp; Communications",'1. All Data'!$M$3:$M$133,"In Danger of Falling Behind Target")</f>
        <v>1</v>
      </c>
      <c r="K80" s="406">
        <f>J80/J89</f>
        <v>7.6923076923076927E-2</v>
      </c>
      <c r="L80" s="406">
        <f>K80</f>
        <v>7.6923076923076927E-2</v>
      </c>
      <c r="M80" s="392">
        <f>J80/J90</f>
        <v>0.1</v>
      </c>
      <c r="N80" s="395">
        <f>M80</f>
        <v>0.1</v>
      </c>
      <c r="P80" s="398" t="s">
        <v>35</v>
      </c>
      <c r="Q80" s="401">
        <f>COUNTIFS('1. All Data'!$AB$3:$AB$133,"Finance, Treasury Management &amp; Communications",'1. All Data'!$R$3:$R$133,"In Danger of Falling Behind Target")</f>
        <v>0</v>
      </c>
      <c r="R80" s="406" t="e">
        <f>Q80/Q89</f>
        <v>#DIV/0!</v>
      </c>
      <c r="S80" s="406" t="e">
        <f>R80</f>
        <v>#DIV/0!</v>
      </c>
      <c r="T80" s="392" t="e">
        <f>Q80/Q90</f>
        <v>#DIV/0!</v>
      </c>
      <c r="U80" s="395" t="e">
        <f>T80</f>
        <v>#DIV/0!</v>
      </c>
      <c r="W80" s="171" t="s">
        <v>27</v>
      </c>
      <c r="X80" s="172">
        <f>COUNTIFS('1. All Data'!$AB$3:$AB$133,"Finance, Treasury Management &amp; Communications",'1. All Data'!$V$3:$V$133,"Numerical Outturn Within 10% Tolerance")</f>
        <v>0</v>
      </c>
      <c r="Y80" s="170" t="e">
        <f>X80/X89</f>
        <v>#DIV/0!</v>
      </c>
      <c r="Z80" s="363" t="e">
        <f>SUM(Y80:Y82)</f>
        <v>#DIV/0!</v>
      </c>
      <c r="AA80" s="170" t="e">
        <f>X80/X90</f>
        <v>#DIV/0!</v>
      </c>
      <c r="AB80" s="364" t="e">
        <f>SUM(AA80:AA82)</f>
        <v>#DIV/0!</v>
      </c>
      <c r="AC80" s="168"/>
    </row>
    <row r="81" spans="2:29" ht="16.5" customHeight="1">
      <c r="B81" s="399"/>
      <c r="C81" s="402"/>
      <c r="D81" s="407"/>
      <c r="E81" s="407"/>
      <c r="F81" s="393"/>
      <c r="G81" s="396"/>
      <c r="I81" s="399"/>
      <c r="J81" s="402"/>
      <c r="K81" s="407"/>
      <c r="L81" s="407"/>
      <c r="M81" s="393"/>
      <c r="N81" s="396"/>
      <c r="P81" s="399"/>
      <c r="Q81" s="402"/>
      <c r="R81" s="407"/>
      <c r="S81" s="407"/>
      <c r="T81" s="393"/>
      <c r="U81" s="396"/>
      <c r="W81" s="171" t="s">
        <v>28</v>
      </c>
      <c r="X81" s="172">
        <f>COUNTIFS('1. All Data'!$AB$3:$AB$133,"Finance, Treasury Management &amp; Communications",'1. All Data'!$V$3:$V$133,"Target Partially Met")</f>
        <v>0</v>
      </c>
      <c r="Y81" s="170" t="e">
        <f>X81/X89</f>
        <v>#DIV/0!</v>
      </c>
      <c r="Z81" s="363"/>
      <c r="AA81" s="170" t="e">
        <f>X81/X90</f>
        <v>#DIV/0!</v>
      </c>
      <c r="AB81" s="364"/>
      <c r="AC81" s="168"/>
    </row>
    <row r="82" spans="2:29" ht="16.5" customHeight="1">
      <c r="B82" s="400"/>
      <c r="C82" s="403"/>
      <c r="D82" s="408"/>
      <c r="E82" s="408"/>
      <c r="F82" s="394"/>
      <c r="G82" s="397"/>
      <c r="I82" s="400"/>
      <c r="J82" s="403"/>
      <c r="K82" s="408"/>
      <c r="L82" s="408"/>
      <c r="M82" s="394"/>
      <c r="N82" s="397"/>
      <c r="P82" s="400"/>
      <c r="Q82" s="403"/>
      <c r="R82" s="408"/>
      <c r="S82" s="408"/>
      <c r="T82" s="394"/>
      <c r="U82" s="397"/>
      <c r="W82" s="171" t="s">
        <v>31</v>
      </c>
      <c r="X82" s="172">
        <f>COUNTIFS('1. All Data'!$AB$3:$AB$133,"Finance, Treasury Management &amp; Communications",'1. All Data'!$V$3:$V$133,"Completion Date Within Reasonable Tolerance")</f>
        <v>0</v>
      </c>
      <c r="Y82" s="170" t="e">
        <f>X82/X89</f>
        <v>#DIV/0!</v>
      </c>
      <c r="Z82" s="363"/>
      <c r="AA82" s="170" t="e">
        <f>X82/X90</f>
        <v>#DIV/0!</v>
      </c>
      <c r="AB82" s="364"/>
      <c r="AC82" s="168"/>
    </row>
    <row r="83" spans="2:29" ht="22.5" customHeight="1">
      <c r="B83" s="214" t="s">
        <v>36</v>
      </c>
      <c r="C83" s="211">
        <f>COUNTIFS('1. All Data'!$AB$3:$AB$133,"Finance, Treasury Management &amp; Communications",'1. All Data'!$H$3:$H$133,"Completed Behind Schedule")</f>
        <v>0</v>
      </c>
      <c r="D83" s="212">
        <f>C83/C89</f>
        <v>0</v>
      </c>
      <c r="E83" s="404">
        <f>D83+D84</f>
        <v>0</v>
      </c>
      <c r="F83" s="213">
        <f>C83/C90</f>
        <v>0</v>
      </c>
      <c r="G83" s="405">
        <f>F83+F84</f>
        <v>0</v>
      </c>
      <c r="I83" s="214" t="s">
        <v>36</v>
      </c>
      <c r="J83" s="211">
        <f>COUNTIFS('1. All Data'!$AB$3:$AB$133,"Finance, Treasury Management &amp; Communications",'1. All Data'!$M$3:$M$133,"Completed Behind Schedule")</f>
        <v>0</v>
      </c>
      <c r="K83" s="212">
        <f>J83/J89</f>
        <v>0</v>
      </c>
      <c r="L83" s="404">
        <f>K83+K84</f>
        <v>0</v>
      </c>
      <c r="M83" s="213">
        <f>J83/J90</f>
        <v>0</v>
      </c>
      <c r="N83" s="405">
        <f>M83+M84</f>
        <v>0</v>
      </c>
      <c r="P83" s="214" t="s">
        <v>36</v>
      </c>
      <c r="Q83" s="211">
        <f>COUNTIFS('1. All Data'!$AB$3:$AB$133,"Finance, Treasury Management &amp; Communications",'1. All Data'!$R$3:$R$133,"Completed Behind Schedule")</f>
        <v>0</v>
      </c>
      <c r="R83" s="212" t="e">
        <f>Q83/Q89</f>
        <v>#DIV/0!</v>
      </c>
      <c r="S83" s="404" t="e">
        <f>R83+R84</f>
        <v>#DIV/0!</v>
      </c>
      <c r="T83" s="213" t="e">
        <f>Q83/Q90</f>
        <v>#DIV/0!</v>
      </c>
      <c r="U83" s="405" t="e">
        <f>T83+T84</f>
        <v>#DIV/0!</v>
      </c>
      <c r="W83" s="173" t="s">
        <v>30</v>
      </c>
      <c r="X83" s="211">
        <f>COUNTIFS('1. All Data'!$AB$3:$AB$133,"Finance, Treasury Management &amp; Communications",'1. All Data'!$V$3:$V$133,"Completed Significantly After Target Deadline")</f>
        <v>0</v>
      </c>
      <c r="Y83" s="212" t="e">
        <f>X83/X89</f>
        <v>#DIV/0!</v>
      </c>
      <c r="Z83" s="404" t="e">
        <f>Y83+Y84</f>
        <v>#DIV/0!</v>
      </c>
      <c r="AA83" s="170" t="e">
        <f>X83/X90</f>
        <v>#DIV/0!</v>
      </c>
      <c r="AB83" s="365" t="e">
        <f>AA83+AA84</f>
        <v>#DIV/0!</v>
      </c>
      <c r="AC83" s="168"/>
    </row>
    <row r="84" spans="2:29" ht="22.5" customHeight="1">
      <c r="B84" s="214" t="s">
        <v>29</v>
      </c>
      <c r="C84" s="211">
        <f>COUNTIFS('1. All Data'!$AB$3:$AB$133,"Finance, Treasury Management &amp; Communications",'1. All Data'!$H$3:$H$133,"Off Target")</f>
        <v>0</v>
      </c>
      <c r="D84" s="212">
        <f>C84/C89</f>
        <v>0</v>
      </c>
      <c r="E84" s="404"/>
      <c r="F84" s="213">
        <f>C84/C90</f>
        <v>0</v>
      </c>
      <c r="G84" s="405"/>
      <c r="I84" s="214" t="s">
        <v>29</v>
      </c>
      <c r="J84" s="211">
        <f>COUNTIFS('1. All Data'!$AB$3:$AB$133,"Finance, Treasury Management &amp; Communications",'1. All Data'!$M$3:$M$133,"Off Target")</f>
        <v>0</v>
      </c>
      <c r="K84" s="212">
        <f>J84/J89</f>
        <v>0</v>
      </c>
      <c r="L84" s="404"/>
      <c r="M84" s="213">
        <f>J84/J90</f>
        <v>0</v>
      </c>
      <c r="N84" s="405"/>
      <c r="P84" s="214" t="s">
        <v>29</v>
      </c>
      <c r="Q84" s="211">
        <f>COUNTIFS('1. All Data'!$AB$3:$AB$133,"Finance, Treasury Management &amp; Communications",'1. All Data'!$R$3:$R$133,"Off Target")</f>
        <v>0</v>
      </c>
      <c r="R84" s="212" t="e">
        <f>Q84/Q89</f>
        <v>#DIV/0!</v>
      </c>
      <c r="S84" s="404"/>
      <c r="T84" s="213" t="e">
        <f>Q84/Q90</f>
        <v>#DIV/0!</v>
      </c>
      <c r="U84" s="405"/>
      <c r="W84" s="173" t="s">
        <v>29</v>
      </c>
      <c r="X84" s="211">
        <f>COUNTIFS('1. All Data'!$AB$3:$AB$133,"Finance, Treasury Management &amp; Communications",'1. All Data'!$V$3:$V$133,"Off Target")</f>
        <v>0</v>
      </c>
      <c r="Y84" s="212" t="e">
        <f>X84/X89</f>
        <v>#DIV/0!</v>
      </c>
      <c r="Z84" s="404"/>
      <c r="AA84" s="170" t="e">
        <f>X84/X90</f>
        <v>#DIV/0!</v>
      </c>
      <c r="AB84" s="365"/>
      <c r="AC84" s="168"/>
    </row>
    <row r="85" spans="2:29" ht="15.75" customHeight="1">
      <c r="B85" s="215" t="s">
        <v>53</v>
      </c>
      <c r="C85" s="211">
        <f>COUNTIFS('1. All Data'!$AB$3:$AB$133,"Finance, Treasury Management &amp; Communications",'1. All Data'!$H$3:$H$133,"Not yet due")</f>
        <v>6</v>
      </c>
      <c r="D85" s="216">
        <f>C85/C89</f>
        <v>0.46153846153846156</v>
      </c>
      <c r="E85" s="216">
        <f>D85</f>
        <v>0.46153846153846156</v>
      </c>
      <c r="F85" s="217"/>
      <c r="G85" s="59"/>
      <c r="I85" s="215" t="s">
        <v>53</v>
      </c>
      <c r="J85" s="211">
        <f>COUNTIFS('1. All Data'!$AB$3:$AB$133,"Finance, Treasury Management &amp; Communications",'1. All Data'!$M$3:$M$133,"Not yet due")</f>
        <v>3</v>
      </c>
      <c r="K85" s="216">
        <f>J85/J89</f>
        <v>0.23076923076923078</v>
      </c>
      <c r="L85" s="216">
        <f>K85</f>
        <v>0.23076923076923078</v>
      </c>
      <c r="M85" s="217"/>
      <c r="N85" s="59"/>
      <c r="P85" s="215" t="s">
        <v>53</v>
      </c>
      <c r="Q85" s="211">
        <f>COUNTIFS('1. All Data'!$AB$3:$AB$133,"Finance, Treasury Management &amp; Communications",'1. All Data'!$R$3:$R$133,"Not yet due")</f>
        <v>0</v>
      </c>
      <c r="R85" s="216" t="e">
        <f>Q85/Q89</f>
        <v>#DIV/0!</v>
      </c>
      <c r="S85" s="216" t="e">
        <f>R85</f>
        <v>#DIV/0!</v>
      </c>
      <c r="T85" s="217"/>
      <c r="U85" s="59"/>
      <c r="W85" s="174" t="s">
        <v>53</v>
      </c>
      <c r="X85" s="211">
        <f>COUNTIFS('1. All Data'!$AB$3:$AB$133,"Finance, Treasury Management &amp; Communications",'1. All Data'!$V$3:$V$133,"Not yet due")</f>
        <v>0</v>
      </c>
      <c r="Y85" s="216" t="e">
        <f>X85/X89</f>
        <v>#DIV/0!</v>
      </c>
      <c r="Z85" s="216" t="e">
        <f>Y85</f>
        <v>#DIV/0!</v>
      </c>
      <c r="AA85" s="176"/>
      <c r="AB85" s="59"/>
      <c r="AC85" s="168"/>
    </row>
    <row r="86" spans="2:29" ht="15.75" customHeight="1">
      <c r="B86" s="215" t="s">
        <v>24</v>
      </c>
      <c r="C86" s="211">
        <f>COUNTIFS('1. All Data'!$AB$3:$AB$133,"Finance, Treasury Management &amp; Communications",'1. All Data'!$H$3:$H$133,"Update not provided")</f>
        <v>0</v>
      </c>
      <c r="D86" s="216">
        <f>C86/C89</f>
        <v>0</v>
      </c>
      <c r="E86" s="216">
        <f>D86</f>
        <v>0</v>
      </c>
      <c r="F86" s="217"/>
      <c r="G86" s="2"/>
      <c r="I86" s="215" t="s">
        <v>24</v>
      </c>
      <c r="J86" s="211">
        <f>COUNTIFS('1. All Data'!$AB$3:$AB$133,"Finance, Treasury Management &amp; Communications",'1. All Data'!$M$3:$M$133,"Update not provided")</f>
        <v>0</v>
      </c>
      <c r="K86" s="216">
        <f>J86/J89</f>
        <v>0</v>
      </c>
      <c r="L86" s="216">
        <f>K86</f>
        <v>0</v>
      </c>
      <c r="M86" s="217"/>
      <c r="N86" s="2"/>
      <c r="P86" s="215" t="s">
        <v>24</v>
      </c>
      <c r="Q86" s="211">
        <f>COUNTIFS('1. All Data'!$AB$3:$AB$133,"Finance, Treasury Management &amp; Communications",'1. All Data'!$R$3:$R$133,"Update not provided")</f>
        <v>0</v>
      </c>
      <c r="R86" s="216" t="e">
        <f>Q86/Q89</f>
        <v>#DIV/0!</v>
      </c>
      <c r="S86" s="216" t="e">
        <f>R86</f>
        <v>#DIV/0!</v>
      </c>
      <c r="T86" s="217"/>
      <c r="U86" s="2"/>
      <c r="W86" s="174" t="s">
        <v>24</v>
      </c>
      <c r="X86" s="211">
        <f>COUNTIFS('1. All Data'!$AB$3:$AB$133,"Finance, Treasury Management &amp; Communications",'1. All Data'!$V$3:$V$133,"Update not provided")</f>
        <v>0</v>
      </c>
      <c r="Y86" s="216" t="e">
        <f>X86/X89</f>
        <v>#DIV/0!</v>
      </c>
      <c r="Z86" s="216" t="e">
        <f>Y86</f>
        <v>#DIV/0!</v>
      </c>
      <c r="AA86" s="176"/>
      <c r="AB86" s="2"/>
      <c r="AC86" s="168"/>
    </row>
    <row r="87" spans="2:29" ht="15.75" customHeight="1">
      <c r="B87" s="218" t="s">
        <v>32</v>
      </c>
      <c r="C87" s="211">
        <f>COUNTIFS('1. All Data'!$AB$3:$AB$133,"Finance, Treasury Management &amp; Communications",'1. All Data'!$H$3:$H$133,"Deferred")</f>
        <v>0</v>
      </c>
      <c r="D87" s="219">
        <f>C87/C89</f>
        <v>0</v>
      </c>
      <c r="E87" s="219">
        <f>D87</f>
        <v>0</v>
      </c>
      <c r="F87" s="220"/>
      <c r="G87" s="59"/>
      <c r="I87" s="218" t="s">
        <v>32</v>
      </c>
      <c r="J87" s="211">
        <f>COUNTIFS('1. All Data'!$AB$3:$AB$133,"Finance, Treasury Management &amp; Communications",'1. All Data'!$M$3:$M$133,"Deferred")</f>
        <v>0</v>
      </c>
      <c r="K87" s="219">
        <f>J87/J89</f>
        <v>0</v>
      </c>
      <c r="L87" s="219">
        <f>K87</f>
        <v>0</v>
      </c>
      <c r="M87" s="220"/>
      <c r="N87" s="59"/>
      <c r="P87" s="218" t="s">
        <v>32</v>
      </c>
      <c r="Q87" s="211">
        <f>COUNTIFS('1. All Data'!$AB$3:$AB$133,"Finance, Treasury Management &amp; Communications",'1. All Data'!$R$3:$R$133,"Deferred")</f>
        <v>0</v>
      </c>
      <c r="R87" s="219" t="e">
        <f>Q87/Q89</f>
        <v>#DIV/0!</v>
      </c>
      <c r="S87" s="219" t="e">
        <f>R87</f>
        <v>#DIV/0!</v>
      </c>
      <c r="T87" s="220"/>
      <c r="U87" s="59"/>
      <c r="W87" s="177" t="s">
        <v>32</v>
      </c>
      <c r="X87" s="211">
        <f>COUNTIFS('1. All Data'!$AB$3:$AB$133,"Finance, Treasury Management &amp; Communications",'1. All Data'!$V$3:$V$133,"Deferred")</f>
        <v>0</v>
      </c>
      <c r="Y87" s="219" t="e">
        <f>X87/X89</f>
        <v>#DIV/0!</v>
      </c>
      <c r="Z87" s="219" t="e">
        <f>Y87</f>
        <v>#DIV/0!</v>
      </c>
      <c r="AA87" s="179"/>
      <c r="AB87" s="59"/>
      <c r="AC87" s="168"/>
    </row>
    <row r="88" spans="2:29" ht="15.75" customHeight="1">
      <c r="B88" s="218" t="s">
        <v>33</v>
      </c>
      <c r="C88" s="211">
        <f>COUNTIFS('1. All Data'!$AB$3:$AB$133,"Finance, Treasury Management &amp; Communications",'1. All Data'!$H$3:$H$133,"Deleted")</f>
        <v>0</v>
      </c>
      <c r="D88" s="219">
        <f>C88/C89</f>
        <v>0</v>
      </c>
      <c r="E88" s="219">
        <f>D88</f>
        <v>0</v>
      </c>
      <c r="F88" s="220"/>
      <c r="G88" s="30"/>
      <c r="I88" s="218" t="s">
        <v>33</v>
      </c>
      <c r="J88" s="211">
        <f>COUNTIFS('1. All Data'!$AB$3:$AB$133,"Finance, Treasury Management &amp; Communications",'1. All Data'!$M$3:$M$133,"Deleted")</f>
        <v>0</v>
      </c>
      <c r="K88" s="219">
        <f>J88/J89</f>
        <v>0</v>
      </c>
      <c r="L88" s="219">
        <f>K88</f>
        <v>0</v>
      </c>
      <c r="M88" s="220"/>
      <c r="N88" s="30"/>
      <c r="P88" s="218" t="s">
        <v>33</v>
      </c>
      <c r="Q88" s="211">
        <f>COUNTIFS('1. All Data'!$AB$3:$AB$133,"Finance, Treasury Management &amp; Communications",'1. All Data'!$R$3:$R$133,"Deleted")</f>
        <v>0</v>
      </c>
      <c r="R88" s="219" t="e">
        <f>Q88/Q89</f>
        <v>#DIV/0!</v>
      </c>
      <c r="S88" s="219" t="e">
        <f>R88</f>
        <v>#DIV/0!</v>
      </c>
      <c r="T88" s="220"/>
      <c r="U88" s="30"/>
      <c r="W88" s="177" t="s">
        <v>33</v>
      </c>
      <c r="X88" s="211">
        <f>COUNTIFS('1. All Data'!$AB$3:$AB$133,"Finance, Treasury Management &amp; Communications",'1. All Data'!$V$3:$V$133,"Deleted")</f>
        <v>0</v>
      </c>
      <c r="Y88" s="219" t="e">
        <f>X88/X89</f>
        <v>#DIV/0!</v>
      </c>
      <c r="Z88" s="219" t="e">
        <f>Y88</f>
        <v>#DIV/0!</v>
      </c>
      <c r="AA88" s="179"/>
      <c r="AB88" s="3"/>
      <c r="AC88" s="168"/>
    </row>
    <row r="89" spans="2:29" ht="15.75" customHeight="1">
      <c r="B89" s="221" t="s">
        <v>55</v>
      </c>
      <c r="C89" s="222">
        <f>SUM(C78:C88)</f>
        <v>13</v>
      </c>
      <c r="D89" s="179"/>
      <c r="E89" s="179"/>
      <c r="F89" s="223"/>
      <c r="G89" s="59"/>
      <c r="I89" s="221" t="s">
        <v>55</v>
      </c>
      <c r="J89" s="222">
        <f>SUM(J78:J88)</f>
        <v>13</v>
      </c>
      <c r="K89" s="179"/>
      <c r="L89" s="179"/>
      <c r="M89" s="223"/>
      <c r="N89" s="59"/>
      <c r="P89" s="221" t="s">
        <v>55</v>
      </c>
      <c r="Q89" s="222">
        <f>SUM(Q78:Q88)</f>
        <v>0</v>
      </c>
      <c r="R89" s="179"/>
      <c r="S89" s="179"/>
      <c r="T89" s="223"/>
      <c r="U89" s="59"/>
      <c r="W89" s="180" t="s">
        <v>55</v>
      </c>
      <c r="X89" s="222">
        <f>SUM(X78:X88)</f>
        <v>0</v>
      </c>
      <c r="Y89" s="179"/>
      <c r="Z89" s="179"/>
      <c r="AA89" s="59"/>
      <c r="AB89" s="59"/>
      <c r="AC89" s="168"/>
    </row>
    <row r="90" spans="2:29" ht="15.75" customHeight="1">
      <c r="B90" s="221" t="s">
        <v>56</v>
      </c>
      <c r="C90" s="222">
        <f>C89-C88-C87-C86-C85</f>
        <v>7</v>
      </c>
      <c r="D90" s="59"/>
      <c r="E90" s="59"/>
      <c r="F90" s="223"/>
      <c r="G90" s="59"/>
      <c r="I90" s="221" t="s">
        <v>56</v>
      </c>
      <c r="J90" s="222">
        <f>J89-J88-J87-J86-J85</f>
        <v>10</v>
      </c>
      <c r="K90" s="59"/>
      <c r="L90" s="59"/>
      <c r="M90" s="223"/>
      <c r="N90" s="59"/>
      <c r="P90" s="221" t="s">
        <v>56</v>
      </c>
      <c r="Q90" s="222">
        <f>Q89-Q88-Q87-Q86-Q85</f>
        <v>0</v>
      </c>
      <c r="R90" s="59"/>
      <c r="S90" s="59"/>
      <c r="T90" s="223"/>
      <c r="U90" s="59"/>
      <c r="W90" s="180" t="s">
        <v>56</v>
      </c>
      <c r="X90" s="222">
        <f>X89-X88-X87-X86-X85</f>
        <v>0</v>
      </c>
      <c r="Y90" s="59"/>
      <c r="Z90" s="59"/>
      <c r="AA90" s="59"/>
      <c r="AB90" s="59"/>
      <c r="AC90" s="168"/>
    </row>
    <row r="91" spans="2:29" ht="15.75" customHeight="1">
      <c r="W91" s="182"/>
      <c r="AA91" s="2"/>
      <c r="AC91" s="168"/>
    </row>
    <row r="92" spans="2:29" ht="15.75" customHeight="1">
      <c r="W92" s="167"/>
      <c r="X92" s="167"/>
      <c r="Y92" s="167"/>
      <c r="Z92" s="167"/>
      <c r="AA92" s="167"/>
      <c r="AB92" s="189"/>
      <c r="AC92" s="168"/>
    </row>
    <row r="93" spans="2:29" ht="15.75" customHeight="1">
      <c r="W93" s="167"/>
      <c r="X93" s="167"/>
      <c r="Y93" s="167"/>
      <c r="Z93" s="167"/>
      <c r="AA93" s="167"/>
      <c r="AB93" s="189"/>
      <c r="AC93" s="168"/>
    </row>
    <row r="94" spans="2:29">
      <c r="W94" s="167"/>
      <c r="X94" s="167"/>
      <c r="Y94" s="167"/>
      <c r="Z94" s="167"/>
      <c r="AA94" s="167"/>
      <c r="AB94" s="189"/>
      <c r="AC94" s="168"/>
    </row>
    <row r="95" spans="2:29">
      <c r="W95" s="167"/>
      <c r="X95" s="167"/>
      <c r="Y95" s="167"/>
      <c r="Z95" s="167"/>
      <c r="AA95" s="167"/>
      <c r="AB95" s="189"/>
      <c r="AC95" s="168"/>
    </row>
    <row r="96" spans="2:29">
      <c r="W96" s="167"/>
      <c r="X96" s="167"/>
      <c r="Y96" s="167"/>
      <c r="Z96" s="167"/>
      <c r="AA96" s="167"/>
      <c r="AB96" s="189"/>
      <c r="AC96" s="168"/>
    </row>
    <row r="97" spans="23:29">
      <c r="W97" s="167"/>
      <c r="X97" s="167"/>
      <c r="Y97" s="167"/>
      <c r="Z97" s="167"/>
      <c r="AA97" s="167"/>
      <c r="AB97" s="189"/>
      <c r="AC97" s="168"/>
    </row>
    <row r="98" spans="23:29">
      <c r="W98" s="167"/>
      <c r="X98" s="167"/>
      <c r="Y98" s="167"/>
      <c r="Z98" s="167"/>
      <c r="AA98" s="167"/>
      <c r="AB98" s="189"/>
      <c r="AC98" s="168"/>
    </row>
    <row r="99" spans="23:29">
      <c r="W99" s="167"/>
      <c r="X99" s="167"/>
      <c r="Y99" s="167"/>
      <c r="Z99" s="167"/>
      <c r="AA99" s="167"/>
      <c r="AB99" s="189"/>
      <c r="AC99" s="168"/>
    </row>
    <row r="100" spans="23:29">
      <c r="W100" s="167"/>
      <c r="X100" s="167"/>
      <c r="Y100" s="167"/>
      <c r="Z100" s="167"/>
      <c r="AA100" s="167"/>
      <c r="AB100" s="189"/>
      <c r="AC100" s="168"/>
    </row>
    <row r="101" spans="23:29">
      <c r="W101" s="167"/>
      <c r="X101" s="167"/>
      <c r="Y101" s="167"/>
      <c r="Z101" s="167"/>
      <c r="AA101" s="167"/>
      <c r="AB101" s="189"/>
      <c r="AC101" s="168"/>
    </row>
    <row r="102" spans="23:29">
      <c r="W102" s="167"/>
      <c r="X102" s="167"/>
      <c r="Y102" s="167"/>
      <c r="Z102" s="167"/>
      <c r="AA102" s="167"/>
      <c r="AB102" s="189"/>
      <c r="AC102" s="168"/>
    </row>
    <row r="103" spans="23:29">
      <c r="W103" s="167"/>
      <c r="X103" s="167"/>
      <c r="Y103" s="167"/>
      <c r="Z103" s="167"/>
      <c r="AA103" s="167"/>
      <c r="AB103" s="189"/>
      <c r="AC103" s="168"/>
    </row>
    <row r="104" spans="23:29">
      <c r="W104" s="167"/>
      <c r="X104" s="167"/>
      <c r="Y104" s="167"/>
      <c r="Z104" s="167"/>
      <c r="AA104" s="167"/>
      <c r="AB104" s="189"/>
      <c r="AC104" s="168"/>
    </row>
    <row r="105" spans="23:29">
      <c r="W105" s="167"/>
      <c r="X105" s="167"/>
      <c r="Y105" s="167"/>
      <c r="Z105" s="167"/>
      <c r="AA105" s="167"/>
      <c r="AB105" s="189"/>
      <c r="AC105" s="168"/>
    </row>
    <row r="106" spans="23:29">
      <c r="W106" s="167"/>
      <c r="X106" s="167"/>
      <c r="Y106" s="167"/>
      <c r="Z106" s="167"/>
      <c r="AA106" s="167"/>
      <c r="AB106" s="189"/>
      <c r="AC106" s="168"/>
    </row>
    <row r="107" spans="23:29">
      <c r="W107" s="167"/>
      <c r="X107" s="167"/>
      <c r="Y107" s="167"/>
      <c r="Z107" s="167"/>
      <c r="AA107" s="167"/>
      <c r="AB107" s="189"/>
      <c r="AC107" s="168"/>
    </row>
    <row r="108" spans="23:29">
      <c r="W108" s="167"/>
      <c r="X108" s="167"/>
      <c r="Y108" s="167"/>
      <c r="Z108" s="167"/>
      <c r="AA108" s="167"/>
      <c r="AB108" s="189"/>
      <c r="AC108" s="168"/>
    </row>
    <row r="109" spans="23:29">
      <c r="W109" s="167"/>
      <c r="X109" s="167"/>
      <c r="Y109" s="167"/>
      <c r="Z109" s="167"/>
      <c r="AA109" s="167"/>
      <c r="AB109" s="189"/>
      <c r="AC109" s="168"/>
    </row>
    <row r="110" spans="23:29">
      <c r="W110" s="167"/>
      <c r="X110" s="167"/>
      <c r="Y110" s="167"/>
      <c r="Z110" s="167"/>
      <c r="AA110" s="167"/>
      <c r="AB110" s="189"/>
      <c r="AC110" s="168"/>
    </row>
    <row r="111" spans="23:29">
      <c r="W111" s="167"/>
      <c r="X111" s="167"/>
      <c r="Y111" s="167"/>
      <c r="Z111" s="167"/>
      <c r="AA111" s="167"/>
      <c r="AB111" s="189"/>
      <c r="AC111" s="168"/>
    </row>
    <row r="112" spans="23:29">
      <c r="W112" s="167"/>
      <c r="X112" s="167"/>
      <c r="Y112" s="167"/>
      <c r="Z112" s="167"/>
      <c r="AA112" s="167"/>
      <c r="AB112" s="189"/>
      <c r="AC112" s="168"/>
    </row>
    <row r="113" spans="23:29">
      <c r="W113" s="167"/>
      <c r="X113" s="167"/>
      <c r="Y113" s="167"/>
      <c r="Z113" s="167"/>
      <c r="AA113" s="167"/>
      <c r="AB113" s="189"/>
      <c r="AC113" s="168"/>
    </row>
    <row r="114" spans="23:29">
      <c r="W114" s="167"/>
      <c r="X114" s="167"/>
      <c r="Y114" s="167"/>
      <c r="Z114" s="167"/>
      <c r="AA114" s="167"/>
      <c r="AB114" s="189"/>
      <c r="AC114" s="168"/>
    </row>
    <row r="115" spans="23:29">
      <c r="W115" s="167"/>
      <c r="X115" s="167"/>
      <c r="Y115" s="167"/>
      <c r="Z115" s="167"/>
      <c r="AA115" s="167"/>
      <c r="AB115" s="189"/>
      <c r="AC115" s="168"/>
    </row>
    <row r="116" spans="23:29">
      <c r="W116" s="167"/>
      <c r="X116" s="167"/>
      <c r="Y116" s="167"/>
      <c r="Z116" s="167"/>
      <c r="AA116" s="167"/>
      <c r="AB116" s="189"/>
      <c r="AC116" s="168"/>
    </row>
    <row r="117" spans="23:29">
      <c r="W117" s="167"/>
      <c r="X117" s="167"/>
      <c r="Y117" s="167"/>
      <c r="Z117" s="167"/>
      <c r="AA117" s="167"/>
      <c r="AB117" s="189"/>
      <c r="AC117" s="168"/>
    </row>
    <row r="118" spans="23:29">
      <c r="W118" s="167"/>
      <c r="X118" s="167"/>
      <c r="Y118" s="167"/>
      <c r="Z118" s="167"/>
      <c r="AA118" s="167"/>
      <c r="AB118" s="189"/>
      <c r="AC118" s="168"/>
    </row>
    <row r="119" spans="23:29">
      <c r="W119" s="167"/>
      <c r="X119" s="167"/>
      <c r="Y119" s="167"/>
      <c r="Z119" s="167"/>
      <c r="AA119" s="167"/>
      <c r="AB119" s="189"/>
      <c r="AC119" s="168"/>
    </row>
    <row r="120" spans="23:29">
      <c r="W120" s="167"/>
      <c r="X120" s="167"/>
      <c r="Y120" s="167"/>
      <c r="Z120" s="167"/>
      <c r="AA120" s="167"/>
      <c r="AB120" s="189"/>
      <c r="AC120" s="168"/>
    </row>
    <row r="121" spans="23:29">
      <c r="W121" s="167"/>
      <c r="X121" s="167"/>
      <c r="Y121" s="167"/>
      <c r="Z121" s="167"/>
      <c r="AA121" s="167"/>
      <c r="AB121" s="189"/>
      <c r="AC121" s="168"/>
    </row>
    <row r="122" spans="23:29">
      <c r="W122" s="167"/>
      <c r="X122" s="167"/>
      <c r="Y122" s="167"/>
      <c r="Z122" s="167"/>
      <c r="AA122" s="167"/>
      <c r="AB122" s="189"/>
      <c r="AC122" s="168"/>
    </row>
    <row r="123" spans="23:29">
      <c r="W123" s="167"/>
      <c r="X123" s="167"/>
      <c r="Y123" s="167"/>
      <c r="Z123" s="167"/>
      <c r="AA123" s="167"/>
      <c r="AB123" s="189"/>
      <c r="AC123" s="168"/>
    </row>
    <row r="124" spans="23:29">
      <c r="W124" s="167"/>
      <c r="X124" s="167"/>
      <c r="Y124" s="167"/>
      <c r="Z124" s="167"/>
      <c r="AA124" s="167"/>
      <c r="AB124" s="189"/>
      <c r="AC124" s="168"/>
    </row>
    <row r="125" spans="23:29">
      <c r="W125" s="167"/>
      <c r="X125" s="167"/>
      <c r="Y125" s="167"/>
      <c r="Z125" s="167"/>
      <c r="AA125" s="167"/>
      <c r="AB125" s="189"/>
      <c r="AC125" s="168"/>
    </row>
    <row r="126" spans="23:29">
      <c r="W126" s="167"/>
      <c r="X126" s="167"/>
      <c r="Y126" s="167"/>
      <c r="Z126" s="167"/>
      <c r="AA126" s="167"/>
      <c r="AB126" s="189"/>
      <c r="AC126" s="168"/>
    </row>
    <row r="127" spans="23:29">
      <c r="W127" s="167"/>
      <c r="X127" s="167"/>
      <c r="Y127" s="167"/>
      <c r="Z127" s="167"/>
      <c r="AA127" s="167"/>
      <c r="AB127" s="189"/>
      <c r="AC127" s="168"/>
    </row>
    <row r="128" spans="23:29">
      <c r="W128" s="167"/>
      <c r="X128" s="167"/>
      <c r="Y128" s="167"/>
      <c r="Z128" s="167"/>
      <c r="AA128" s="167"/>
      <c r="AB128" s="189"/>
      <c r="AC128" s="168"/>
    </row>
    <row r="129" spans="23:29">
      <c r="W129" s="167"/>
      <c r="X129" s="167"/>
      <c r="Y129" s="167"/>
      <c r="Z129" s="167"/>
      <c r="AA129" s="167"/>
      <c r="AB129" s="189"/>
      <c r="AC129" s="168"/>
    </row>
    <row r="130" spans="23:29">
      <c r="W130" s="167"/>
      <c r="X130" s="167"/>
      <c r="Y130" s="167"/>
      <c r="Z130" s="167"/>
      <c r="AA130" s="167"/>
      <c r="AB130" s="189"/>
      <c r="AC130" s="168"/>
    </row>
    <row r="131" spans="23:29">
      <c r="W131" s="167"/>
      <c r="X131" s="167"/>
      <c r="Y131" s="167"/>
      <c r="Z131" s="167"/>
      <c r="AA131" s="167"/>
      <c r="AB131" s="189"/>
      <c r="AC131" s="168"/>
    </row>
    <row r="132" spans="23:29">
      <c r="W132" s="167"/>
      <c r="X132" s="167"/>
      <c r="Y132" s="167"/>
      <c r="Z132" s="167"/>
      <c r="AA132" s="167"/>
      <c r="AB132" s="189"/>
      <c r="AC132" s="168"/>
    </row>
    <row r="133" spans="23:29">
      <c r="W133" s="167"/>
      <c r="X133" s="167"/>
      <c r="Y133" s="167"/>
      <c r="Z133" s="167"/>
      <c r="AA133" s="167"/>
      <c r="AB133" s="189"/>
      <c r="AC133" s="168"/>
    </row>
    <row r="134" spans="23:29">
      <c r="W134" s="167"/>
      <c r="X134" s="167"/>
      <c r="Y134" s="167"/>
      <c r="Z134" s="167"/>
      <c r="AA134" s="167"/>
      <c r="AB134" s="189"/>
      <c r="AC134" s="168"/>
    </row>
    <row r="135" spans="23:29">
      <c r="W135" s="167"/>
      <c r="X135" s="167"/>
      <c r="Y135" s="167"/>
      <c r="Z135" s="167"/>
      <c r="AA135" s="167"/>
      <c r="AB135" s="189"/>
      <c r="AC135" s="168"/>
    </row>
    <row r="136" spans="23:29">
      <c r="W136" s="167"/>
      <c r="X136" s="167"/>
      <c r="Y136" s="167"/>
      <c r="Z136" s="167"/>
      <c r="AA136" s="167"/>
      <c r="AB136" s="189"/>
      <c r="AC136" s="168"/>
    </row>
    <row r="137" spans="23:29">
      <c r="W137" s="167"/>
      <c r="X137" s="167"/>
      <c r="Y137" s="167"/>
      <c r="Z137" s="167"/>
      <c r="AA137" s="167"/>
      <c r="AB137" s="189"/>
      <c r="AC137" s="168"/>
    </row>
    <row r="138" spans="23:29">
      <c r="W138" s="167"/>
      <c r="X138" s="167"/>
      <c r="Y138" s="167"/>
      <c r="Z138" s="167"/>
      <c r="AA138" s="167"/>
      <c r="AB138" s="189"/>
      <c r="AC138" s="168"/>
    </row>
    <row r="139" spans="23:29">
      <c r="W139" s="167"/>
      <c r="X139" s="167"/>
      <c r="Y139" s="167"/>
      <c r="Z139" s="167"/>
      <c r="AA139" s="167"/>
      <c r="AB139" s="189"/>
      <c r="AC139" s="168"/>
    </row>
    <row r="140" spans="23:29">
      <c r="W140" s="167"/>
      <c r="X140" s="167"/>
      <c r="Y140" s="167"/>
      <c r="Z140" s="167"/>
      <c r="AA140" s="167"/>
      <c r="AB140" s="189"/>
      <c r="AC140" s="168"/>
    </row>
    <row r="141" spans="23:29">
      <c r="W141" s="167"/>
      <c r="X141" s="167"/>
      <c r="Y141" s="167"/>
      <c r="Z141" s="167"/>
      <c r="AA141" s="167"/>
      <c r="AB141" s="189"/>
      <c r="AC141" s="168"/>
    </row>
    <row r="142" spans="23:29">
      <c r="W142" s="167"/>
      <c r="X142" s="167"/>
      <c r="Y142" s="167"/>
      <c r="Z142" s="167"/>
      <c r="AA142" s="167"/>
      <c r="AB142" s="189"/>
      <c r="AC142" s="168"/>
    </row>
    <row r="143" spans="23:29">
      <c r="W143" s="167"/>
      <c r="X143" s="167"/>
      <c r="Y143" s="167"/>
      <c r="Z143" s="167"/>
      <c r="AA143" s="167"/>
      <c r="AB143" s="189"/>
      <c r="AC143" s="168"/>
    </row>
    <row r="144" spans="23:29">
      <c r="W144" s="167"/>
      <c r="X144" s="167"/>
      <c r="Y144" s="167"/>
      <c r="Z144" s="167"/>
      <c r="AA144" s="167"/>
      <c r="AB144" s="189"/>
      <c r="AC144" s="168"/>
    </row>
    <row r="145" spans="23:29">
      <c r="W145" s="167"/>
      <c r="X145" s="167"/>
      <c r="Y145" s="167"/>
      <c r="Z145" s="167"/>
      <c r="AA145" s="167"/>
      <c r="AB145" s="189"/>
      <c r="AC145" s="168"/>
    </row>
    <row r="146" spans="23:29">
      <c r="W146" s="167"/>
      <c r="X146" s="167"/>
      <c r="Y146" s="167"/>
      <c r="Z146" s="167"/>
      <c r="AA146" s="167"/>
      <c r="AB146" s="189"/>
      <c r="AC146" s="168"/>
    </row>
    <row r="147" spans="23:29">
      <c r="W147" s="167"/>
      <c r="X147" s="167"/>
      <c r="Y147" s="167"/>
      <c r="Z147" s="167"/>
      <c r="AA147" s="167"/>
      <c r="AB147" s="189"/>
      <c r="AC147" s="168"/>
    </row>
    <row r="148" spans="23:29">
      <c r="W148" s="167"/>
      <c r="X148" s="167"/>
      <c r="Y148" s="167"/>
      <c r="Z148" s="167"/>
      <c r="AA148" s="167"/>
      <c r="AB148" s="189"/>
      <c r="AC148" s="168"/>
    </row>
    <row r="149" spans="23:29">
      <c r="W149" s="167"/>
      <c r="X149" s="167"/>
      <c r="Y149" s="167"/>
      <c r="Z149" s="167"/>
      <c r="AA149" s="167"/>
      <c r="AB149" s="189"/>
      <c r="AC149" s="168"/>
    </row>
    <row r="150" spans="23:29">
      <c r="W150" s="167"/>
      <c r="X150" s="167"/>
      <c r="Y150" s="167"/>
      <c r="Z150" s="167"/>
      <c r="AA150" s="167"/>
      <c r="AB150" s="189"/>
      <c r="AC150" s="168"/>
    </row>
    <row r="151" spans="23:29">
      <c r="W151" s="167"/>
      <c r="X151" s="167"/>
      <c r="Y151" s="167"/>
      <c r="Z151" s="167"/>
      <c r="AA151" s="167"/>
      <c r="AB151" s="189"/>
      <c r="AC151" s="168"/>
    </row>
    <row r="152" spans="23:29">
      <c r="W152" s="167"/>
      <c r="X152" s="167"/>
      <c r="Y152" s="167"/>
      <c r="Z152" s="167"/>
      <c r="AA152" s="167"/>
      <c r="AB152" s="189"/>
      <c r="AC152" s="168"/>
    </row>
    <row r="153" spans="23:29">
      <c r="W153" s="167"/>
      <c r="X153" s="167"/>
      <c r="Y153" s="167"/>
      <c r="Z153" s="167"/>
      <c r="AA153" s="167"/>
      <c r="AB153" s="189"/>
      <c r="AC153" s="168"/>
    </row>
    <row r="154" spans="23:29">
      <c r="W154" s="167"/>
      <c r="X154" s="167"/>
      <c r="Y154" s="167"/>
      <c r="Z154" s="167"/>
      <c r="AA154" s="167"/>
      <c r="AB154" s="189"/>
      <c r="AC154" s="168"/>
    </row>
    <row r="155" spans="23:29">
      <c r="W155" s="167"/>
      <c r="X155" s="167"/>
      <c r="Y155" s="167"/>
      <c r="Z155" s="167"/>
      <c r="AA155" s="167"/>
      <c r="AB155" s="189"/>
      <c r="AC155" s="168"/>
    </row>
    <row r="156" spans="23:29">
      <c r="W156" s="167"/>
      <c r="X156" s="167"/>
      <c r="Y156" s="167"/>
      <c r="Z156" s="167"/>
      <c r="AA156" s="167"/>
      <c r="AB156" s="189"/>
      <c r="AC156" s="168"/>
    </row>
    <row r="157" spans="23:29">
      <c r="W157" s="167"/>
      <c r="X157" s="167"/>
      <c r="Y157" s="167"/>
      <c r="Z157" s="167"/>
      <c r="AA157" s="167"/>
      <c r="AB157" s="189"/>
      <c r="AC157" s="168"/>
    </row>
    <row r="158" spans="23:29">
      <c r="W158" s="167"/>
      <c r="X158" s="167"/>
      <c r="Y158" s="167"/>
      <c r="Z158" s="167"/>
      <c r="AA158" s="167"/>
      <c r="AB158" s="189"/>
      <c r="AC158" s="168"/>
    </row>
    <row r="159" spans="23:29">
      <c r="W159" s="167"/>
      <c r="X159" s="167"/>
      <c r="Y159" s="167"/>
      <c r="Z159" s="167"/>
      <c r="AA159" s="167"/>
      <c r="AB159" s="189"/>
      <c r="AC159" s="168"/>
    </row>
    <row r="160" spans="23:29">
      <c r="W160" s="167"/>
      <c r="X160" s="167"/>
      <c r="Y160" s="167"/>
      <c r="Z160" s="167"/>
      <c r="AA160" s="167"/>
      <c r="AB160" s="189"/>
      <c r="AC160" s="168"/>
    </row>
    <row r="161" spans="23:29">
      <c r="W161" s="167"/>
      <c r="X161" s="167"/>
      <c r="Y161" s="167"/>
      <c r="Z161" s="167"/>
      <c r="AA161" s="167"/>
      <c r="AB161" s="189"/>
      <c r="AC161" s="168"/>
    </row>
    <row r="162" spans="23:29">
      <c r="W162" s="167"/>
      <c r="X162" s="167"/>
      <c r="Y162" s="167"/>
      <c r="Z162" s="167"/>
      <c r="AA162" s="167"/>
      <c r="AB162" s="189"/>
      <c r="AC162" s="168"/>
    </row>
    <row r="163" spans="23:29">
      <c r="W163" s="167"/>
      <c r="X163" s="167"/>
      <c r="Y163" s="167"/>
      <c r="Z163" s="167"/>
      <c r="AA163" s="167"/>
      <c r="AB163" s="189"/>
      <c r="AC163" s="168"/>
    </row>
    <row r="164" spans="23:29">
      <c r="W164" s="167"/>
      <c r="X164" s="167"/>
      <c r="Y164" s="167"/>
      <c r="Z164" s="167"/>
      <c r="AA164" s="167"/>
      <c r="AB164" s="189"/>
      <c r="AC164" s="168"/>
    </row>
    <row r="165" spans="23:29">
      <c r="W165" s="167"/>
      <c r="X165" s="167"/>
      <c r="Y165" s="167"/>
      <c r="Z165" s="167"/>
      <c r="AA165" s="167"/>
      <c r="AB165" s="189"/>
      <c r="AC165" s="168"/>
    </row>
    <row r="166" spans="23:29">
      <c r="W166" s="167"/>
      <c r="X166" s="167"/>
      <c r="Y166" s="167"/>
      <c r="Z166" s="167"/>
      <c r="AA166" s="167"/>
      <c r="AB166" s="189"/>
      <c r="AC166" s="168"/>
    </row>
    <row r="167" spans="23:29">
      <c r="W167" s="167"/>
      <c r="X167" s="167"/>
      <c r="Y167" s="167"/>
      <c r="Z167" s="167"/>
      <c r="AA167" s="167"/>
      <c r="AB167" s="189"/>
      <c r="AC167" s="168"/>
    </row>
    <row r="168" spans="23:29">
      <c r="W168" s="167"/>
      <c r="X168" s="167"/>
      <c r="Y168" s="167"/>
      <c r="Z168" s="167"/>
      <c r="AA168" s="167"/>
      <c r="AB168" s="189"/>
      <c r="AC168" s="168"/>
    </row>
    <row r="169" spans="23:29">
      <c r="W169" s="167"/>
      <c r="X169" s="167"/>
      <c r="Y169" s="167"/>
      <c r="Z169" s="167"/>
      <c r="AA169" s="167"/>
      <c r="AB169" s="189"/>
      <c r="AC169" s="168"/>
    </row>
    <row r="170" spans="23:29">
      <c r="W170" s="167"/>
      <c r="X170" s="167"/>
      <c r="Y170" s="167"/>
      <c r="Z170" s="167"/>
      <c r="AA170" s="167"/>
      <c r="AB170" s="189"/>
      <c r="AC170" s="168"/>
    </row>
    <row r="171" spans="23:29">
      <c r="W171" s="167"/>
      <c r="X171" s="167"/>
      <c r="Y171" s="167"/>
      <c r="Z171" s="167"/>
      <c r="AA171" s="167"/>
      <c r="AB171" s="189"/>
      <c r="AC171" s="168"/>
    </row>
    <row r="172" spans="23:29">
      <c r="W172" s="167"/>
      <c r="X172" s="167"/>
      <c r="Y172" s="167"/>
      <c r="Z172" s="167"/>
      <c r="AA172" s="167"/>
      <c r="AB172" s="189"/>
      <c r="AC172" s="168"/>
    </row>
    <row r="173" spans="23:29">
      <c r="W173" s="167"/>
      <c r="X173" s="167"/>
      <c r="Y173" s="167"/>
      <c r="Z173" s="167"/>
      <c r="AA173" s="167"/>
      <c r="AB173" s="189"/>
      <c r="AC173" s="168"/>
    </row>
    <row r="174" spans="23:29">
      <c r="W174" s="167"/>
      <c r="X174" s="167"/>
      <c r="Y174" s="167"/>
      <c r="Z174" s="167"/>
      <c r="AA174" s="167"/>
      <c r="AB174" s="189"/>
      <c r="AC174" s="168"/>
    </row>
    <row r="175" spans="23:29">
      <c r="W175" s="167"/>
      <c r="X175" s="167"/>
      <c r="Y175" s="167"/>
      <c r="Z175" s="167"/>
      <c r="AA175" s="167"/>
      <c r="AB175" s="189"/>
      <c r="AC175" s="168"/>
    </row>
    <row r="176" spans="23:29">
      <c r="W176" s="167"/>
      <c r="X176" s="167"/>
      <c r="Y176" s="167"/>
      <c r="Z176" s="167"/>
      <c r="AA176" s="167"/>
      <c r="AB176" s="189"/>
      <c r="AC176" s="168"/>
    </row>
    <row r="177" spans="23:29">
      <c r="W177" s="167"/>
      <c r="X177" s="167"/>
      <c r="Y177" s="167"/>
      <c r="Z177" s="167"/>
      <c r="AA177" s="167"/>
      <c r="AB177" s="189"/>
      <c r="AC177" s="168"/>
    </row>
    <row r="178" spans="23:29">
      <c r="W178" s="167"/>
      <c r="X178" s="167"/>
      <c r="Y178" s="167"/>
      <c r="Z178" s="167"/>
      <c r="AA178" s="167"/>
      <c r="AB178" s="189"/>
      <c r="AC178" s="168"/>
    </row>
    <row r="179" spans="23:29">
      <c r="W179" s="167"/>
      <c r="X179" s="167"/>
      <c r="Y179" s="167"/>
      <c r="Z179" s="167"/>
      <c r="AA179" s="167"/>
      <c r="AB179" s="189"/>
      <c r="AC179" s="168"/>
    </row>
    <row r="180" spans="23:29">
      <c r="W180" s="167"/>
      <c r="X180" s="167"/>
      <c r="Y180" s="167"/>
      <c r="Z180" s="167"/>
      <c r="AA180" s="167"/>
      <c r="AB180" s="189"/>
      <c r="AC180" s="168"/>
    </row>
    <row r="181" spans="23:29">
      <c r="W181" s="167"/>
      <c r="X181" s="167"/>
      <c r="Y181" s="167"/>
      <c r="Z181" s="167"/>
      <c r="AA181" s="167"/>
      <c r="AB181" s="189"/>
      <c r="AC181" s="168"/>
    </row>
    <row r="182" spans="23:29">
      <c r="W182" s="167"/>
      <c r="X182" s="167"/>
      <c r="Y182" s="167"/>
      <c r="Z182" s="167"/>
      <c r="AA182" s="167"/>
      <c r="AB182" s="189"/>
      <c r="AC182" s="168"/>
    </row>
    <row r="183" spans="23:29">
      <c r="W183" s="167"/>
      <c r="X183" s="167"/>
      <c r="Y183" s="167"/>
      <c r="Z183" s="167"/>
      <c r="AA183" s="167"/>
      <c r="AB183" s="189"/>
      <c r="AC183" s="168"/>
    </row>
    <row r="184" spans="23:29">
      <c r="W184" s="167"/>
      <c r="X184" s="167"/>
      <c r="Y184" s="167"/>
      <c r="Z184" s="167"/>
      <c r="AA184" s="167"/>
      <c r="AB184" s="189"/>
      <c r="AC184" s="168"/>
    </row>
    <row r="185" spans="23:29">
      <c r="W185" s="167"/>
      <c r="X185" s="167"/>
      <c r="Y185" s="167"/>
      <c r="Z185" s="167"/>
      <c r="AA185" s="167"/>
      <c r="AB185" s="189"/>
      <c r="AC185" s="168"/>
    </row>
    <row r="186" spans="23:29">
      <c r="W186" s="167"/>
      <c r="X186" s="167"/>
      <c r="Y186" s="167"/>
      <c r="Z186" s="167"/>
      <c r="AA186" s="167"/>
      <c r="AB186" s="189"/>
      <c r="AC186" s="168"/>
    </row>
    <row r="187" spans="23:29">
      <c r="W187" s="167"/>
      <c r="X187" s="167"/>
      <c r="Y187" s="167"/>
      <c r="Z187" s="167"/>
      <c r="AA187" s="167"/>
      <c r="AB187" s="189"/>
      <c r="AC187" s="168"/>
    </row>
    <row r="188" spans="23:29">
      <c r="W188" s="167"/>
      <c r="X188" s="167"/>
      <c r="Y188" s="167"/>
      <c r="Z188" s="167"/>
      <c r="AA188" s="167"/>
      <c r="AB188" s="189"/>
      <c r="AC188" s="168"/>
    </row>
    <row r="189" spans="23:29">
      <c r="W189" s="167"/>
      <c r="X189" s="167"/>
      <c r="Y189" s="167"/>
      <c r="Z189" s="167"/>
      <c r="AA189" s="167"/>
      <c r="AB189" s="189"/>
      <c r="AC189" s="168"/>
    </row>
    <row r="190" spans="23:29">
      <c r="W190" s="167"/>
      <c r="X190" s="167"/>
      <c r="Y190" s="167"/>
      <c r="Z190" s="167"/>
      <c r="AA190" s="167"/>
      <c r="AB190" s="189"/>
      <c r="AC190" s="168"/>
    </row>
    <row r="191" spans="23:29">
      <c r="W191" s="167"/>
      <c r="X191" s="167"/>
      <c r="Y191" s="167"/>
      <c r="Z191" s="167"/>
      <c r="AA191" s="167"/>
      <c r="AB191" s="189"/>
      <c r="AC191" s="168"/>
    </row>
    <row r="192" spans="23:29">
      <c r="W192" s="167"/>
      <c r="X192" s="167"/>
      <c r="Y192" s="167"/>
      <c r="Z192" s="167"/>
      <c r="AA192" s="167"/>
      <c r="AB192" s="189"/>
      <c r="AC192" s="168"/>
    </row>
    <row r="193" spans="23:29">
      <c r="W193" s="167"/>
      <c r="X193" s="167"/>
      <c r="Y193" s="167"/>
      <c r="Z193" s="167"/>
      <c r="AA193" s="167"/>
      <c r="AB193" s="189"/>
      <c r="AC193" s="168"/>
    </row>
    <row r="194" spans="23:29">
      <c r="W194" s="167"/>
      <c r="X194" s="167"/>
      <c r="Y194" s="167"/>
      <c r="Z194" s="167"/>
      <c r="AA194" s="167"/>
      <c r="AB194" s="189"/>
      <c r="AC194" s="168"/>
    </row>
    <row r="195" spans="23:29">
      <c r="W195" s="167"/>
      <c r="X195" s="167"/>
      <c r="Y195" s="167"/>
      <c r="Z195" s="167"/>
      <c r="AA195" s="167"/>
      <c r="AB195" s="189"/>
      <c r="AC195" s="168"/>
    </row>
    <row r="196" spans="23:29">
      <c r="W196" s="167"/>
      <c r="X196" s="167"/>
      <c r="Y196" s="167"/>
      <c r="Z196" s="167"/>
      <c r="AA196" s="167"/>
      <c r="AB196" s="189"/>
      <c r="AC196" s="168"/>
    </row>
    <row r="197" spans="23:29">
      <c r="W197" s="167"/>
      <c r="X197" s="167"/>
      <c r="Y197" s="167"/>
      <c r="Z197" s="167"/>
      <c r="AA197" s="167"/>
      <c r="AB197" s="189"/>
      <c r="AC197" s="168"/>
    </row>
  </sheetData>
  <sheetProtection algorithmName="SHA-512" hashValue="7u/lQ7xcIGwLsGsZssr0bJ6MQ6cLPrB0vwxZWb5rPFgjJ8YXv8+zNjIeUqLaSxJJkVs/bvCj1dNMufKqZINsNw==" saltValue="OWIsCRjVgjaRyiMF9BsxfQ==" spinCount="100000" sheet="1" objects="1" scenarios="1"/>
  <mergeCells count="180">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33203125" defaultRowHeight="14.4"/>
  <cols>
    <col min="1" max="1" width="3.44140625" style="69" customWidth="1"/>
    <col min="2" max="9" width="9.33203125" style="69"/>
    <col min="10" max="10" width="3.44140625" style="69" customWidth="1"/>
    <col min="11" max="11" width="9.33203125" style="70" customWidth="1"/>
    <col min="12" max="18" width="9.33203125" style="69" customWidth="1"/>
    <col min="19" max="19" width="3.44140625" style="69" customWidth="1"/>
    <col min="20" max="27" width="9.33203125" style="69" customWidth="1"/>
    <col min="28" max="28" width="3.44140625" style="69" customWidth="1"/>
    <col min="29" max="36" width="9.33203125" style="69" customWidth="1"/>
    <col min="37" max="37" width="3.44140625" style="69" customWidth="1"/>
    <col min="38" max="47" width="9.33203125" style="69" customWidth="1"/>
    <col min="48" max="50" width="9.33203125" style="69"/>
    <col min="51" max="51" width="9.33203125" style="75"/>
    <col min="52" max="55" width="10" style="75" customWidth="1"/>
    <col min="56" max="16384" width="9.33203125" style="69"/>
  </cols>
  <sheetData>
    <row r="1" spans="2:56" s="68" customFormat="1" ht="35.25" customHeight="1" thickTop="1">
      <c r="B1" s="74" t="s">
        <v>72</v>
      </c>
      <c r="K1" s="410" t="s">
        <v>61</v>
      </c>
      <c r="L1" s="411"/>
      <c r="M1" s="411"/>
      <c r="N1" s="411"/>
      <c r="O1" s="411"/>
      <c r="P1" s="411"/>
      <c r="Q1" s="411"/>
      <c r="R1" s="411"/>
      <c r="S1" s="411"/>
      <c r="T1" s="411"/>
      <c r="U1" s="411"/>
      <c r="V1" s="411"/>
      <c r="W1" s="411"/>
      <c r="X1" s="412"/>
      <c r="AY1" s="74"/>
      <c r="AZ1" s="74"/>
      <c r="BA1" s="74"/>
      <c r="BB1" s="74"/>
      <c r="BC1" s="74"/>
    </row>
    <row r="2" spans="2:56" s="68" customFormat="1" ht="35.4">
      <c r="K2" s="413"/>
      <c r="L2" s="414"/>
      <c r="M2" s="414"/>
      <c r="N2" s="414"/>
      <c r="O2" s="414"/>
      <c r="P2" s="414"/>
      <c r="Q2" s="414"/>
      <c r="R2" s="414"/>
      <c r="S2" s="414"/>
      <c r="T2" s="414"/>
      <c r="U2" s="414"/>
      <c r="V2" s="414"/>
      <c r="W2" s="414"/>
      <c r="X2" s="415"/>
      <c r="AY2" s="74"/>
      <c r="AZ2" s="74"/>
      <c r="BA2" s="74"/>
      <c r="BB2" s="74"/>
      <c r="BC2" s="74"/>
    </row>
    <row r="3" spans="2:56" s="68" customFormat="1" ht="36" thickBot="1">
      <c r="K3" s="416"/>
      <c r="L3" s="417"/>
      <c r="M3" s="417"/>
      <c r="N3" s="417"/>
      <c r="O3" s="417"/>
      <c r="P3" s="417"/>
      <c r="Q3" s="417"/>
      <c r="R3" s="417"/>
      <c r="S3" s="417"/>
      <c r="T3" s="417"/>
      <c r="U3" s="417"/>
      <c r="V3" s="417"/>
      <c r="W3" s="417"/>
      <c r="X3" s="418"/>
      <c r="AY3" s="74"/>
      <c r="AZ3" s="74"/>
      <c r="BA3" s="74"/>
      <c r="BB3" s="74"/>
      <c r="BC3" s="74"/>
    </row>
    <row r="4" spans="2:56" ht="15" thickTop="1">
      <c r="N4" s="71"/>
      <c r="W4" s="71"/>
      <c r="AF4" s="71"/>
      <c r="AO4" s="71"/>
    </row>
    <row r="5" spans="2:56">
      <c r="AY5" s="76" t="s">
        <v>469</v>
      </c>
      <c r="AZ5" s="77"/>
      <c r="BA5" s="77"/>
      <c r="BB5" s="77"/>
      <c r="BC5" s="77"/>
      <c r="BD5" s="70"/>
    </row>
    <row r="6" spans="2:56">
      <c r="AY6" s="78"/>
      <c r="AZ6" s="79" t="s">
        <v>16</v>
      </c>
      <c r="BA6" s="79" t="s">
        <v>17</v>
      </c>
      <c r="BB6" s="79" t="s">
        <v>18</v>
      </c>
      <c r="BC6" s="79" t="s">
        <v>15</v>
      </c>
      <c r="BD6" s="70"/>
    </row>
    <row r="7" spans="2:56">
      <c r="AY7" s="80" t="s">
        <v>63</v>
      </c>
      <c r="AZ7" s="81">
        <f>'3a. % by Portfolio'!G5</f>
        <v>0.92</v>
      </c>
      <c r="BA7" s="81">
        <f>'3a. % by Portfolio'!N5</f>
        <v>0.87096774193548387</v>
      </c>
      <c r="BB7" s="81" t="e">
        <f>'3a. % by Portfolio'!U5</f>
        <v>#DIV/0!</v>
      </c>
      <c r="BC7" s="81" t="e">
        <f>'3a. % by Portfolio'!AB5</f>
        <v>#DIV/0!</v>
      </c>
      <c r="BD7" s="70"/>
    </row>
    <row r="8" spans="2:56">
      <c r="L8" s="72"/>
      <c r="M8" s="72"/>
      <c r="AY8" s="80" t="s">
        <v>64</v>
      </c>
      <c r="AZ8" s="81">
        <f>'3a. % by Portfolio'!G7</f>
        <v>0</v>
      </c>
      <c r="BA8" s="81">
        <f>'3a. % by Portfolio'!N7</f>
        <v>6.4516129032258063E-2</v>
      </c>
      <c r="BB8" s="81" t="e">
        <f>'3a. % by Portfolio'!U7</f>
        <v>#DIV/0!</v>
      </c>
      <c r="BC8" s="81" t="e">
        <f>'3a. % by Portfolio'!AB7</f>
        <v>#DIV/0!</v>
      </c>
      <c r="BD8" s="70"/>
    </row>
    <row r="9" spans="2:56">
      <c r="L9" s="72"/>
      <c r="M9" s="72"/>
      <c r="AY9" s="80" t="s">
        <v>65</v>
      </c>
      <c r="AZ9" s="81">
        <f>'3a. % by Portfolio'!G10</f>
        <v>0.08</v>
      </c>
      <c r="BA9" s="81">
        <f>'3a. % by Portfolio'!N10</f>
        <v>6.4516129032258063E-2</v>
      </c>
      <c r="BB9" s="81" t="e">
        <f>'3a. % by Portfolio'!U10</f>
        <v>#DIV/0!</v>
      </c>
      <c r="BC9" s="81" t="e">
        <f>'3a. % by Portfolio'!AB10</f>
        <v>#DIV/0!</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c r="W20" s="71"/>
      <c r="AF20" s="71"/>
      <c r="AO20" s="71"/>
      <c r="AY20" s="77"/>
      <c r="AZ20" s="77"/>
      <c r="BA20" s="77"/>
      <c r="BB20" s="77"/>
      <c r="BC20" s="77"/>
      <c r="BD20" s="70"/>
    </row>
    <row r="21" spans="12:56">
      <c r="AY21" s="76" t="s">
        <v>463</v>
      </c>
      <c r="AZ21" s="77"/>
      <c r="BA21" s="77"/>
      <c r="BB21" s="77"/>
      <c r="BC21" s="77"/>
      <c r="BD21" s="70"/>
    </row>
    <row r="22" spans="12:56">
      <c r="AY22" s="78"/>
      <c r="AZ22" s="79" t="s">
        <v>16</v>
      </c>
      <c r="BA22" s="79" t="s">
        <v>17</v>
      </c>
      <c r="BB22" s="79" t="s">
        <v>18</v>
      </c>
      <c r="BC22" s="79" t="s">
        <v>15</v>
      </c>
      <c r="BD22" s="70"/>
    </row>
    <row r="23" spans="12:56">
      <c r="AY23" s="80" t="s">
        <v>63</v>
      </c>
      <c r="AZ23" s="81">
        <f>'3a. % by Portfolio'!G24</f>
        <v>1</v>
      </c>
      <c r="BA23" s="81">
        <f>'3a. % by Portfolio'!N24</f>
        <v>1</v>
      </c>
      <c r="BB23" s="81" t="e">
        <f>'3a. % by Portfolio'!U24</f>
        <v>#DIV/0!</v>
      </c>
      <c r="BC23" s="81" t="e">
        <f>'3a. % by Portfolio'!AB24</f>
        <v>#DIV/0!</v>
      </c>
      <c r="BD23" s="70"/>
    </row>
    <row r="24" spans="12:56">
      <c r="L24" s="72"/>
      <c r="M24" s="72"/>
      <c r="AY24" s="80" t="s">
        <v>64</v>
      </c>
      <c r="AZ24" s="81">
        <f>'3a. % by Portfolio'!G26</f>
        <v>0</v>
      </c>
      <c r="BA24" s="81">
        <f>'3a. % by Portfolio'!N26</f>
        <v>0</v>
      </c>
      <c r="BB24" s="81" t="e">
        <f>'3a. % by Portfolio'!U26</f>
        <v>#DIV/0!</v>
      </c>
      <c r="BC24" s="81" t="e">
        <f>'3a. % by Portfolio'!AB26</f>
        <v>#DIV/0!</v>
      </c>
      <c r="BD24" s="70"/>
    </row>
    <row r="25" spans="12:56">
      <c r="L25" s="72"/>
      <c r="M25" s="72"/>
      <c r="AY25" s="80" t="s">
        <v>65</v>
      </c>
      <c r="AZ25" s="81">
        <f>'3a. % by Portfolio'!G29</f>
        <v>0</v>
      </c>
      <c r="BA25" s="81">
        <f>'3a. % by Portfolio'!N29</f>
        <v>0</v>
      </c>
      <c r="BB25" s="81" t="e">
        <f>'3a. % by Portfolio'!U29</f>
        <v>#DIV/0!</v>
      </c>
      <c r="BC25" s="81" t="e">
        <f>'3a. % by Portfolio'!AB29</f>
        <v>#DIV/0!</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c r="W36" s="71"/>
      <c r="AF36" s="71"/>
      <c r="AO36" s="71"/>
      <c r="AY36" s="77"/>
      <c r="AZ36" s="77"/>
      <c r="BA36" s="77"/>
      <c r="BB36" s="77"/>
      <c r="BC36" s="77"/>
      <c r="BD36" s="70"/>
    </row>
    <row r="37" spans="11:56">
      <c r="AY37" s="76" t="s">
        <v>462</v>
      </c>
      <c r="AZ37" s="85"/>
      <c r="BA37" s="85"/>
      <c r="BB37" s="85"/>
      <c r="BC37" s="85"/>
      <c r="BD37" s="73"/>
    </row>
    <row r="38" spans="11:56">
      <c r="AY38" s="86"/>
      <c r="AZ38" s="79" t="s">
        <v>16</v>
      </c>
      <c r="BA38" s="79" t="s">
        <v>17</v>
      </c>
      <c r="BB38" s="79" t="s">
        <v>18</v>
      </c>
      <c r="BC38" s="79" t="s">
        <v>15</v>
      </c>
      <c r="BD38" s="73"/>
    </row>
    <row r="39" spans="11:56">
      <c r="AY39" s="80" t="s">
        <v>63</v>
      </c>
      <c r="AZ39" s="81">
        <f>'3a. % by Portfolio'!G42</f>
        <v>1</v>
      </c>
      <c r="BA39" s="81">
        <f>'3a. % by Portfolio'!N42</f>
        <v>1</v>
      </c>
      <c r="BB39" s="81" t="e">
        <f>'3a. % by Portfolio'!U42</f>
        <v>#DIV/0!</v>
      </c>
      <c r="BC39" s="81" t="e">
        <f>'3a. % by Portfolio'!AB42</f>
        <v>#DIV/0!</v>
      </c>
      <c r="BD39" s="73"/>
    </row>
    <row r="40" spans="11:56">
      <c r="K40" s="72"/>
      <c r="L40" s="72"/>
      <c r="AY40" s="80" t="s">
        <v>64</v>
      </c>
      <c r="AZ40" s="81">
        <f>'3a. % by Portfolio'!G44</f>
        <v>0</v>
      </c>
      <c r="BA40" s="81">
        <f>'3a. % by Portfolio'!N44</f>
        <v>0</v>
      </c>
      <c r="BB40" s="81" t="e">
        <f>'3a. % by Portfolio'!U44</f>
        <v>#DIV/0!</v>
      </c>
      <c r="BC40" s="81" t="e">
        <f>'3a. % by Portfolio'!AB44</f>
        <v>#DIV/0!</v>
      </c>
      <c r="BD40" s="73"/>
    </row>
    <row r="41" spans="11:56">
      <c r="K41" s="72"/>
      <c r="L41" s="72"/>
      <c r="AY41" s="80" t="s">
        <v>65</v>
      </c>
      <c r="AZ41" s="81">
        <f>'3a. % by Portfolio'!G47</f>
        <v>0</v>
      </c>
      <c r="BA41" s="81">
        <f>'3a. % by Portfolio'!N47</f>
        <v>0</v>
      </c>
      <c r="BB41" s="81" t="e">
        <f>'3a. % by Portfolio'!U47</f>
        <v>#DIV/0!</v>
      </c>
      <c r="BC41" s="81" t="e">
        <f>'3a. % by Portfolio'!AB47</f>
        <v>#DIV/0!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c r="W52" s="71"/>
      <c r="AF52" s="71"/>
      <c r="AO52" s="71"/>
      <c r="AY52" s="77"/>
      <c r="AZ52" s="77"/>
      <c r="BA52" s="77"/>
      <c r="BB52" s="77"/>
      <c r="BC52" s="77"/>
      <c r="BD52" s="70"/>
    </row>
    <row r="53" spans="12:56">
      <c r="AY53" s="76" t="s">
        <v>464</v>
      </c>
      <c r="AZ53" s="85"/>
      <c r="BA53" s="85"/>
      <c r="BB53" s="85"/>
      <c r="BC53" s="85"/>
      <c r="BD53" s="70"/>
    </row>
    <row r="54" spans="12:56">
      <c r="AY54" s="86"/>
      <c r="AZ54" s="79" t="s">
        <v>16</v>
      </c>
      <c r="BA54" s="79" t="s">
        <v>17</v>
      </c>
      <c r="BB54" s="79" t="s">
        <v>18</v>
      </c>
      <c r="BC54" s="79" t="s">
        <v>15</v>
      </c>
      <c r="BD54" s="70"/>
    </row>
    <row r="55" spans="12:56">
      <c r="AY55" s="80" t="s">
        <v>63</v>
      </c>
      <c r="AZ55" s="81">
        <f>'3a. % by Portfolio'!G60</f>
        <v>1</v>
      </c>
      <c r="BA55" s="81">
        <f>'3a. % by Portfolio'!N60</f>
        <v>1</v>
      </c>
      <c r="BB55" s="81" t="e">
        <f>'3a. % by Portfolio'!U60</f>
        <v>#DIV/0!</v>
      </c>
      <c r="BC55" s="81" t="e">
        <f>'3a. % by Portfolio'!AB60</f>
        <v>#DIV/0!</v>
      </c>
      <c r="BD55" s="70"/>
    </row>
    <row r="56" spans="12:56">
      <c r="L56" s="72"/>
      <c r="M56" s="72"/>
      <c r="AY56" s="80" t="s">
        <v>64</v>
      </c>
      <c r="AZ56" s="81">
        <f>'3a. % by Portfolio'!G62</f>
        <v>0</v>
      </c>
      <c r="BA56" s="81">
        <f>'3a. % by Portfolio'!N62</f>
        <v>0</v>
      </c>
      <c r="BB56" s="81" t="e">
        <f>'3a. % by Portfolio'!U62</f>
        <v>#DIV/0!</v>
      </c>
      <c r="BC56" s="81" t="e">
        <f>'3a. % by Portfolio'!AB62</f>
        <v>#DIV/0!</v>
      </c>
      <c r="BD56" s="70"/>
    </row>
    <row r="57" spans="12:56">
      <c r="L57" s="72"/>
      <c r="M57" s="72"/>
      <c r="AY57" s="80" t="s">
        <v>65</v>
      </c>
      <c r="AZ57" s="81">
        <f>'3a. % by Portfolio'!G65</f>
        <v>0</v>
      </c>
      <c r="BA57" s="81">
        <f>'3a. % by Portfolio'!N65</f>
        <v>0</v>
      </c>
      <c r="BB57" s="81" t="e">
        <f>'3a. % by Portfolio'!U65</f>
        <v>#DIV/0!</v>
      </c>
      <c r="BC57" s="81" t="e">
        <f>'3a. % by Portfolio'!AB65</f>
        <v>#DIV/0!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c r="W68" s="71"/>
      <c r="AF68" s="71"/>
      <c r="AO68" s="71"/>
      <c r="AY68" s="77"/>
      <c r="AZ68" s="77"/>
      <c r="BA68" s="77"/>
      <c r="BB68" s="77"/>
      <c r="BC68" s="77"/>
      <c r="BD68" s="70"/>
    </row>
    <row r="69" spans="14:56">
      <c r="AY69" s="76" t="s">
        <v>470</v>
      </c>
      <c r="AZ69" s="85"/>
      <c r="BA69" s="85"/>
      <c r="BB69" s="85"/>
      <c r="BC69" s="85"/>
    </row>
    <row r="70" spans="14:56">
      <c r="AY70" s="86"/>
      <c r="AZ70" s="79" t="s">
        <v>16</v>
      </c>
      <c r="BA70" s="79" t="s">
        <v>17</v>
      </c>
      <c r="BB70" s="79" t="s">
        <v>18</v>
      </c>
      <c r="BC70" s="79" t="s">
        <v>15</v>
      </c>
    </row>
    <row r="71" spans="14:56">
      <c r="AY71" s="80" t="s">
        <v>63</v>
      </c>
      <c r="AZ71" s="81">
        <f>'3a. % by Portfolio'!G78</f>
        <v>1</v>
      </c>
      <c r="BA71" s="81">
        <f>'3a. % by Portfolio'!N78</f>
        <v>0.9</v>
      </c>
      <c r="BB71" s="81" t="e">
        <f>'3a. % by Portfolio'!U78</f>
        <v>#DIV/0!</v>
      </c>
      <c r="BC71" s="81" t="e">
        <f>'3a. % by Portfolio'!AB78</f>
        <v>#DIV/0!</v>
      </c>
    </row>
    <row r="72" spans="14:56">
      <c r="AY72" s="80" t="s">
        <v>64</v>
      </c>
      <c r="AZ72" s="81">
        <f>'3a. % by Portfolio'!G80</f>
        <v>0</v>
      </c>
      <c r="BA72" s="81">
        <f>'3a. % by Portfolio'!N80</f>
        <v>0.1</v>
      </c>
      <c r="BB72" s="81" t="e">
        <f>'3a. % by Portfolio'!U80</f>
        <v>#DIV/0!</v>
      </c>
      <c r="BC72" s="81" t="e">
        <f>'3a. % by Portfolio'!AB80</f>
        <v>#DIV/0!</v>
      </c>
    </row>
    <row r="73" spans="14:56">
      <c r="AY73" s="80" t="s">
        <v>65</v>
      </c>
      <c r="AZ73" s="81">
        <f>'3a. % by Portfolio'!G83</f>
        <v>0</v>
      </c>
      <c r="BA73" s="81">
        <f>'3a. % by Portfolio'!N83</f>
        <v>0</v>
      </c>
      <c r="BB73" s="81" t="e">
        <f>'3a. % by Portfolio'!U83</f>
        <v>#DIV/0!</v>
      </c>
      <c r="BC73" s="81" t="e">
        <f>'3a. % by Portfolio'!AB83</f>
        <v>#DIV/0!</v>
      </c>
    </row>
    <row r="84" spans="14:56">
      <c r="N84" s="71"/>
      <c r="W84" s="71"/>
      <c r="AF84" s="71"/>
      <c r="AO84" s="71"/>
    </row>
    <row r="85" spans="14:56">
      <c r="AY85" s="76"/>
      <c r="AZ85" s="85"/>
      <c r="BA85" s="85"/>
      <c r="BB85" s="85"/>
      <c r="BC85" s="85"/>
    </row>
    <row r="86" spans="14:56">
      <c r="AY86" s="86"/>
      <c r="AZ86" s="79"/>
      <c r="BA86" s="79"/>
      <c r="BB86" s="79"/>
      <c r="BC86" s="79"/>
    </row>
    <row r="87" spans="14:56">
      <c r="AY87" s="80"/>
      <c r="AZ87" s="81"/>
      <c r="BA87" s="81"/>
      <c r="BB87" s="81"/>
      <c r="BC87" s="81"/>
    </row>
    <row r="88" spans="14:56">
      <c r="AY88" s="80"/>
      <c r="AZ88" s="81"/>
      <c r="BA88" s="81"/>
      <c r="BB88" s="81"/>
      <c r="BC88" s="81"/>
    </row>
    <row r="89" spans="14:56">
      <c r="AY89" s="80"/>
      <c r="AZ89" s="81"/>
      <c r="BA89" s="81"/>
      <c r="BB89" s="81"/>
      <c r="BC89" s="81"/>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c r="W100" s="71"/>
      <c r="AF100" s="71"/>
      <c r="AO100" s="71"/>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54</v>
      </c>
      <c r="W116" s="71" t="s">
        <v>54</v>
      </c>
      <c r="AF116" s="71" t="s">
        <v>54</v>
      </c>
      <c r="AO116" s="71" t="s">
        <v>54</v>
      </c>
    </row>
  </sheetData>
  <sheetProtection algorithmName="SHA-512" hashValue="6JOo+Oujwve9BEmA4PRB5NXVfFEWdOGqV2py42980EBdotiuf6HTs8WOYAe7dSJLmfihs1N6RPsggo4Km82yIA==" saltValue="ng7Z1twh8bp/pqlj7CNgvg==" spinCount="100000" sheet="1" objects="1" scenarios="1"/>
  <mergeCells count="1">
    <mergeCell ref="K1:X3"/>
  </mergeCells>
  <hyperlinks>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1" customWidth="1"/>
    <col min="2" max="2" width="55.44140625" style="101" customWidth="1"/>
    <col min="3" max="3" width="46.5546875" style="124" customWidth="1"/>
    <col min="4" max="10" width="26.33203125" style="101" customWidth="1"/>
    <col min="11" max="14" width="9.33203125" style="99" customWidth="1"/>
    <col min="15" max="15" width="16.5546875" style="99" hidden="1" customWidth="1"/>
    <col min="16" max="19" width="9.33203125" style="99" hidden="1" customWidth="1"/>
    <col min="20" max="20" width="24.6640625" style="99" hidden="1" customWidth="1"/>
    <col min="21" max="25" width="9.33203125" style="99" hidden="1" customWidth="1"/>
    <col min="26" max="26" width="0" style="99" hidden="1" customWidth="1"/>
    <col min="27" max="46" width="9.33203125" style="99"/>
    <col min="47" max="16384" width="9.33203125" style="101"/>
  </cols>
  <sheetData>
    <row r="1" spans="1:46" s="91" customFormat="1" ht="24" customHeight="1">
      <c r="A1" s="90" t="s">
        <v>54</v>
      </c>
      <c r="C1" s="92"/>
    </row>
    <row r="2" spans="1:46" s="94" customFormat="1" ht="63">
      <c r="A2" s="133" t="s">
        <v>73</v>
      </c>
      <c r="B2" s="133" t="s">
        <v>0</v>
      </c>
      <c r="C2" s="133" t="s">
        <v>1</v>
      </c>
      <c r="D2" s="134" t="s">
        <v>74</v>
      </c>
      <c r="E2" s="134" t="s">
        <v>75</v>
      </c>
      <c r="F2" s="134" t="s">
        <v>76</v>
      </c>
      <c r="G2" s="134" t="s">
        <v>77</v>
      </c>
      <c r="H2" s="134" t="s">
        <v>78</v>
      </c>
      <c r="I2" s="134" t="s">
        <v>79</v>
      </c>
      <c r="J2" s="134" t="s">
        <v>80</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82</v>
      </c>
    </row>
    <row r="4" spans="1:46" ht="99.75" customHeight="1" thickTop="1" thickBot="1">
      <c r="A4" s="96" t="str">
        <f>'1. All Data'!B3</f>
        <v>CR01</v>
      </c>
      <c r="B4" s="128" t="str">
        <f>'1. All Data'!C3</f>
        <v>Moving Beyond Communication</v>
      </c>
      <c r="C4" s="129" t="str">
        <f>'1. All Data'!D3</f>
        <v>Conduct a Residents’ Survey</v>
      </c>
      <c r="D4" s="125" t="str">
        <f>'1. All Data'!H3</f>
        <v>On Track to be Achieved</v>
      </c>
      <c r="E4" s="98"/>
      <c r="F4" s="126" t="str">
        <f>'1. All Data'!M3</f>
        <v>Fully Achieved</v>
      </c>
      <c r="G4" s="98"/>
      <c r="H4" s="127">
        <f>'1. All Data'!R3</f>
        <v>0</v>
      </c>
      <c r="I4" s="98"/>
      <c r="J4" s="127">
        <f>'1. All Data'!V3</f>
        <v>0</v>
      </c>
      <c r="O4" s="100" t="s">
        <v>84</v>
      </c>
      <c r="Y4" s="98" t="s">
        <v>83</v>
      </c>
    </row>
    <row r="5" spans="1:46" ht="99.75" customHeight="1" thickTop="1" thickBot="1">
      <c r="A5" s="96" t="str">
        <f>'1. All Data'!B4</f>
        <v>CR02</v>
      </c>
      <c r="B5" s="128" t="str">
        <f>'1. All Data'!C4</f>
        <v>Moving Beyond Communication</v>
      </c>
      <c r="C5" s="129" t="str">
        <f>'1. All Data'!D4</f>
        <v>Prepare our Annual Communications Plan</v>
      </c>
      <c r="D5" s="125" t="str">
        <f>'1. All Data'!H4</f>
        <v>Fully Achieved</v>
      </c>
      <c r="E5" s="98"/>
      <c r="F5" s="126" t="str">
        <f>'1. All Data'!M4</f>
        <v>Fully Achieved</v>
      </c>
      <c r="G5" s="98"/>
      <c r="H5" s="127">
        <f>'1. All Data'!R4</f>
        <v>0</v>
      </c>
      <c r="I5" s="98"/>
      <c r="J5" s="127">
        <f>'1. All Data'!V4</f>
        <v>0</v>
      </c>
      <c r="O5" s="100" t="s">
        <v>85</v>
      </c>
      <c r="T5" s="102"/>
      <c r="Y5" s="103" t="s">
        <v>86</v>
      </c>
    </row>
    <row r="6" spans="1:46" ht="88.8" thickTop="1" thickBot="1">
      <c r="A6" s="96" t="str">
        <f>'1. All Data'!B5</f>
        <v>CR03</v>
      </c>
      <c r="B6" s="128" t="str">
        <f>'1. All Data'!C5</f>
        <v>Moving Beyond Communication</v>
      </c>
      <c r="C6" s="129" t="str">
        <f>'1. All Data'!D5</f>
        <v xml:space="preserve">Carry out  a review of the Communications, Engagement and Consultation Strategy </v>
      </c>
      <c r="D6" s="125" t="str">
        <f>'1. All Data'!H5</f>
        <v>Not Yet Due</v>
      </c>
      <c r="E6" s="98"/>
      <c r="F6" s="126" t="str">
        <f>'1. All Data'!M5</f>
        <v>Not Yet Due</v>
      </c>
      <c r="G6" s="98"/>
      <c r="H6" s="127">
        <f>'1. All Data'!R5</f>
        <v>0</v>
      </c>
      <c r="I6" s="98"/>
      <c r="J6" s="127">
        <f>'1. All Data'!V5</f>
        <v>0</v>
      </c>
      <c r="O6" s="104" t="s">
        <v>81</v>
      </c>
      <c r="T6" s="105" t="s">
        <v>86</v>
      </c>
    </row>
    <row r="7" spans="1:46" ht="99.75" customHeight="1" thickTop="1">
      <c r="A7" s="96" t="str">
        <f>'1. All Data'!B6</f>
        <v>CR04</v>
      </c>
      <c r="B7" s="128" t="str">
        <f>'1. All Data'!C6</f>
        <v>Local approach to Strategic Procurement</v>
      </c>
      <c r="C7" s="129" t="str">
        <f>'1. All Data'!D6</f>
        <v>Review procurement policy to maximise opportunities for local businesses</v>
      </c>
      <c r="D7" s="125" t="str">
        <f>'1. All Data'!H6</f>
        <v>Not Yet Due</v>
      </c>
      <c r="E7" s="98"/>
      <c r="F7" s="126" t="str">
        <f>'1. All Data'!M6</f>
        <v>On Track to be Achieved</v>
      </c>
      <c r="G7" s="98"/>
      <c r="H7" s="127">
        <f>'1. All Data'!R6</f>
        <v>0</v>
      </c>
      <c r="I7" s="98"/>
      <c r="J7" s="127">
        <f>'1. All Data'!V6</f>
        <v>0</v>
      </c>
      <c r="T7" s="105" t="s">
        <v>87</v>
      </c>
    </row>
    <row r="8" spans="1:46" ht="99.75" customHeight="1">
      <c r="A8" s="96" t="str">
        <f>'1. All Data'!B7</f>
        <v>CR05</v>
      </c>
      <c r="B8" s="128" t="str">
        <f>'1. All Data'!C7</f>
        <v>Partnership and Community initiatives</v>
      </c>
      <c r="C8" s="129" t="str">
        <f>'1. All Data'!D7</f>
        <v>Review the Councillors Community Fund to ensure funding projects remain relevant and put forward suggestions for the future use of the scheme</v>
      </c>
      <c r="D8" s="125" t="str">
        <f>'1. All Data'!H7</f>
        <v>Not Yet Due</v>
      </c>
      <c r="E8" s="98"/>
      <c r="F8" s="126" t="str">
        <f>'1. All Data'!M7</f>
        <v>Not Yet Due</v>
      </c>
      <c r="G8" s="98"/>
      <c r="H8" s="127">
        <f>'1. All Data'!R7</f>
        <v>0</v>
      </c>
      <c r="I8" s="98"/>
      <c r="J8" s="127">
        <f>'1. All Data'!V7</f>
        <v>0</v>
      </c>
      <c r="T8" s="105" t="s">
        <v>83</v>
      </c>
    </row>
    <row r="9" spans="1:46" ht="99.75" customHeight="1">
      <c r="A9" s="96" t="str">
        <f>'1. All Data'!B8</f>
        <v>CR06</v>
      </c>
      <c r="B9" s="128" t="str">
        <f>'1. All Data'!C8</f>
        <v>Understanding the position in relation to Town Centre recovery</v>
      </c>
      <c r="C9" s="129" t="str">
        <f>'1. All Data'!D8</f>
        <v>Develop a range of data that monitors and tracks information on footfall and car park usage in our High Streets</v>
      </c>
      <c r="D9" s="125" t="str">
        <f>'1. All Data'!H8</f>
        <v>Fully Achieved</v>
      </c>
      <c r="E9" s="97"/>
      <c r="F9" s="126" t="str">
        <f>'1. All Data'!M8</f>
        <v>Fully Achieved</v>
      </c>
      <c r="G9" s="98"/>
      <c r="H9" s="127">
        <f>'1. All Data'!R8</f>
        <v>0</v>
      </c>
      <c r="I9" s="98"/>
      <c r="J9" s="127">
        <f>'1. All Data'!V8</f>
        <v>0</v>
      </c>
    </row>
    <row r="10" spans="1:46" ht="99.75" customHeight="1">
      <c r="A10" s="96" t="str">
        <f>'1. All Data'!B9</f>
        <v>CR07</v>
      </c>
      <c r="B10" s="128" t="str">
        <f>'1. All Data'!C9</f>
        <v>Partnership and Community initiatives</v>
      </c>
      <c r="C10" s="129" t="str">
        <f>'1. All Data'!D9</f>
        <v>Work with the Voluntary Sector to develop a post-Covid Voluntary Sector Engagement Strategy in support of our communities</v>
      </c>
      <c r="D10" s="125" t="str">
        <f>'1. All Data'!H9</f>
        <v>On Track to be Achieved</v>
      </c>
      <c r="E10" s="97"/>
      <c r="F10" s="126" t="str">
        <f>'1. All Data'!M9</f>
        <v>Fully Achieved</v>
      </c>
      <c r="G10" s="98"/>
      <c r="H10" s="127">
        <f>'1. All Data'!R9</f>
        <v>0</v>
      </c>
      <c r="I10" s="98"/>
      <c r="J10" s="127">
        <f>'1. All Data'!V9</f>
        <v>0</v>
      </c>
    </row>
    <row r="11" spans="1:46" ht="99.75" customHeight="1">
      <c r="A11" s="96" t="str">
        <f>'1. All Data'!B10</f>
        <v>CR08</v>
      </c>
      <c r="B11" s="128" t="str">
        <f>'1. All Data'!C10</f>
        <v>Partnership and Community initiatives</v>
      </c>
      <c r="C11" s="129" t="str">
        <f>'1. All Data'!D10</f>
        <v>Establish a Voluntary Sector Forum</v>
      </c>
      <c r="D11" s="125" t="str">
        <f>'1. All Data'!H10</f>
        <v>Not Yet Due</v>
      </c>
      <c r="E11" s="97"/>
      <c r="F11" s="126" t="str">
        <f>'1. All Data'!M10</f>
        <v>Fully Achieved</v>
      </c>
      <c r="G11" s="98"/>
      <c r="H11" s="127">
        <f>'1. All Data'!R10</f>
        <v>0</v>
      </c>
      <c r="I11" s="98"/>
      <c r="J11" s="127">
        <f>'1. All Data'!V10</f>
        <v>0</v>
      </c>
    </row>
    <row r="12" spans="1:46" ht="99.75" customHeight="1">
      <c r="A12" s="96" t="str">
        <f>'1. All Data'!B11</f>
        <v>CR09</v>
      </c>
      <c r="B12" s="128" t="str">
        <f>'1. All Data'!C11</f>
        <v xml:space="preserve">Supporting Sports and Leisure Delivery Partners </v>
      </c>
      <c r="C12" s="129" t="str">
        <f>'1. All Data'!D11</f>
        <v>Identify and respond to appropriate opportunities to support the Birmingham 2022 Commonwealth Games-including the Queen’s Baton Relay and supporting cultural activities</v>
      </c>
      <c r="D12" s="125" t="str">
        <f>'1. All Data'!H11</f>
        <v>On Track to be Achieved</v>
      </c>
      <c r="E12" s="98"/>
      <c r="F12" s="126" t="str">
        <f>'1. All Data'!M11</f>
        <v>Fully Achieved</v>
      </c>
      <c r="G12" s="98"/>
      <c r="H12" s="127">
        <f>'1. All Data'!R11</f>
        <v>0</v>
      </c>
      <c r="I12" s="105"/>
      <c r="J12" s="127">
        <f>'1. All Data'!V11</f>
        <v>0</v>
      </c>
    </row>
    <row r="13" spans="1:46" ht="99.75" customHeight="1">
      <c r="A13" s="96" t="str">
        <f>'1. All Data'!B12</f>
        <v>CR10</v>
      </c>
      <c r="B13" s="128" t="str">
        <f>'1. All Data'!C12</f>
        <v xml:space="preserve">Supporting Sports and Leisure Delivery Partners </v>
      </c>
      <c r="C13" s="129" t="str">
        <f>'1. All Data'!D12</f>
        <v>Support partners in progressing the Uttoxeter Sports Hub including receipt of six-monthly progress report from partners and exploring opportunities for financial assistance</v>
      </c>
      <c r="D13" s="125" t="str">
        <f>'1. All Data'!H12</f>
        <v>Not Yet Due</v>
      </c>
      <c r="E13" s="98"/>
      <c r="F13" s="126" t="str">
        <f>'1. All Data'!M12</f>
        <v>On Track to be Achieved</v>
      </c>
      <c r="G13" s="98"/>
      <c r="H13" s="127">
        <f>'1. All Data'!R12</f>
        <v>0</v>
      </c>
      <c r="I13" s="98"/>
      <c r="J13" s="127">
        <f>'1. All Data'!V12</f>
        <v>0</v>
      </c>
    </row>
    <row r="14" spans="1:46" ht="99.75" customHeight="1">
      <c r="A14" s="96" t="str">
        <f>'1. All Data'!B13</f>
        <v>CR11</v>
      </c>
      <c r="B14" s="128" t="str">
        <f>'1. All Data'!C13</f>
        <v>Developing Tourism within the Borough</v>
      </c>
      <c r="C14" s="129" t="str">
        <f>'1. All Data'!D13</f>
        <v>Provide the second year evaluation of the Tourism Strategy</v>
      </c>
      <c r="D14" s="125" t="str">
        <f>'1. All Data'!H13</f>
        <v>Not Yet Due</v>
      </c>
      <c r="E14" s="98"/>
      <c r="F14" s="126" t="str">
        <f>'1. All Data'!M13</f>
        <v>On Track to be Achieved</v>
      </c>
      <c r="G14" s="98"/>
      <c r="H14" s="127">
        <f>'1. All Data'!R13</f>
        <v>0</v>
      </c>
      <c r="I14" s="98"/>
      <c r="J14" s="127">
        <f>'1. All Data'!V13</f>
        <v>0</v>
      </c>
    </row>
    <row r="15" spans="1:46" ht="99.75" customHeight="1">
      <c r="A15" s="96" t="str">
        <f>'1. All Data'!B14</f>
        <v>CR12</v>
      </c>
      <c r="B15" s="128" t="str">
        <f>'1. All Data'!C14</f>
        <v>Developing Tourism within the Borough</v>
      </c>
      <c r="C15" s="129" t="str">
        <f>'1. All Data'!D14</f>
        <v>Commission an audit of current levels of tourism activity in East Staffordshire to underpin the future delivery of events and the support the Council provides to potential partners</v>
      </c>
      <c r="D15" s="125" t="str">
        <f>'1. All Data'!H14</f>
        <v>On Track to be Achieved</v>
      </c>
      <c r="E15" s="98"/>
      <c r="F15" s="126" t="str">
        <f>'1. All Data'!M14</f>
        <v>Fully Achieved</v>
      </c>
      <c r="G15" s="98"/>
      <c r="H15" s="127">
        <f>'1. All Data'!R14</f>
        <v>0</v>
      </c>
      <c r="I15" s="98"/>
      <c r="J15" s="127">
        <f>'1. All Data'!V14</f>
        <v>0</v>
      </c>
    </row>
    <row r="16" spans="1:46" ht="99.75" customHeight="1">
      <c r="A16" s="96" t="str">
        <f>'1. All Data'!B15</f>
        <v>CR13</v>
      </c>
      <c r="B16" s="128" t="str">
        <f>'1. All Data'!C15</f>
        <v>Developing Tourism within the Borough</v>
      </c>
      <c r="C16" s="129" t="str">
        <f>'1. All Data'!D15</f>
        <v>Develop a dedicated tourism website and tourism branding to help create an identity for the Borough</v>
      </c>
      <c r="D16" s="125" t="str">
        <f>'1. All Data'!H15</f>
        <v>Not Yet Due</v>
      </c>
      <c r="E16" s="98"/>
      <c r="F16" s="126" t="str">
        <f>'1. All Data'!M15</f>
        <v>Not Yet Due</v>
      </c>
      <c r="G16" s="98"/>
      <c r="H16" s="127">
        <f>'1. All Data'!R15</f>
        <v>0</v>
      </c>
      <c r="I16" s="98"/>
      <c r="J16" s="127">
        <f>'1. All Data'!V15</f>
        <v>0</v>
      </c>
    </row>
    <row r="17" spans="1:10" ht="99.75" customHeight="1">
      <c r="A17" s="96" t="str">
        <f>'1. All Data'!B16</f>
        <v>CR14</v>
      </c>
      <c r="B17" s="128" t="str">
        <f>'1. All Data'!C16</f>
        <v>Developing Tourism within the Borough</v>
      </c>
      <c r="C17" s="129" t="str">
        <f>'1. All Data'!D16</f>
        <v>Launch an East Staffordshire Tourism Partnership bringing together local business to share ideas and develop this aspect of the economy</v>
      </c>
      <c r="D17" s="125" t="str">
        <f>'1. All Data'!H16</f>
        <v>Fully Achieved</v>
      </c>
      <c r="E17" s="98"/>
      <c r="F17" s="126" t="str">
        <f>'1. All Data'!M16</f>
        <v>Fully Achieved</v>
      </c>
      <c r="G17" s="98"/>
      <c r="H17" s="127">
        <f>'1. All Data'!R16</f>
        <v>0</v>
      </c>
      <c r="I17" s="98"/>
      <c r="J17" s="127">
        <f>'1. All Data'!V16</f>
        <v>0</v>
      </c>
    </row>
    <row r="18" spans="1:10" ht="99.75" customHeight="1">
      <c r="A18" s="96" t="str">
        <f>'1. All Data'!B17</f>
        <v>CR15</v>
      </c>
      <c r="B18" s="128" t="str">
        <f>'1. All Data'!C17</f>
        <v>Cemetery Service Initiatives</v>
      </c>
      <c r="C18" s="129" t="str">
        <f>'1. All Data'!D17</f>
        <v>Provide an enhanced digital presence for the Cemetery</v>
      </c>
      <c r="D18" s="125" t="str">
        <f>'1. All Data'!H17</f>
        <v>On Track to be Achieved</v>
      </c>
      <c r="E18" s="98"/>
      <c r="F18" s="126" t="str">
        <f>'1. All Data'!M17</f>
        <v>Fully Achieved</v>
      </c>
      <c r="G18" s="98"/>
      <c r="H18" s="127">
        <f>'1. All Data'!R17</f>
        <v>0</v>
      </c>
      <c r="I18" s="98"/>
      <c r="J18" s="127">
        <f>'1. All Data'!V17</f>
        <v>0</v>
      </c>
    </row>
    <row r="19" spans="1:10" ht="99.75" customHeight="1">
      <c r="A19" s="96" t="str">
        <f>'1. All Data'!B18</f>
        <v>CR16</v>
      </c>
      <c r="B19" s="128" t="str">
        <f>'1. All Data'!C18</f>
        <v>Increase Capacity at Stapenhill Cemetery</v>
      </c>
      <c r="C19" s="129" t="str">
        <f>'1. All Data'!D18</f>
        <v xml:space="preserve">Cabinet report on logistics and options for the Cemetery expansion project  </v>
      </c>
      <c r="D19" s="125" t="str">
        <f>'1. All Data'!H18</f>
        <v>On Track to be Achieved</v>
      </c>
      <c r="E19" s="97"/>
      <c r="F19" s="126" t="str">
        <f>'1. All Data'!M18</f>
        <v>Fully Achieved</v>
      </c>
      <c r="G19" s="98"/>
      <c r="H19" s="127">
        <f>'1. All Data'!R18</f>
        <v>0</v>
      </c>
      <c r="I19" s="98"/>
      <c r="J19" s="127">
        <f>'1. All Data'!V18</f>
        <v>0</v>
      </c>
    </row>
    <row r="20" spans="1:10" ht="99.75" customHeight="1">
      <c r="A20" s="96" t="str">
        <f>'1. All Data'!B19</f>
        <v>CR17</v>
      </c>
      <c r="B20" s="128" t="str">
        <f>'1. All Data'!C19</f>
        <v>Market Initiatives</v>
      </c>
      <c r="C20" s="129" t="str">
        <f>'1. All Data'!D19</f>
        <v>Develop and enhance the Outdoor Market programme offer</v>
      </c>
      <c r="D20" s="125" t="str">
        <f>'1. All Data'!H19</f>
        <v>Not Yet Due</v>
      </c>
      <c r="E20" s="97"/>
      <c r="F20" s="126" t="str">
        <f>'1. All Data'!M19</f>
        <v>Not Yet Due</v>
      </c>
      <c r="G20" s="98"/>
      <c r="H20" s="127">
        <f>'1. All Data'!R19</f>
        <v>0</v>
      </c>
      <c r="I20" s="98"/>
      <c r="J20" s="127">
        <f>'1. All Data'!V19</f>
        <v>0</v>
      </c>
    </row>
    <row r="21" spans="1:10" ht="99.75" customHeight="1">
      <c r="A21" s="96" t="str">
        <f>'1. All Data'!B20</f>
        <v>CR18</v>
      </c>
      <c r="B21" s="128" t="str">
        <f>'1. All Data'!C20</f>
        <v>Market Hall Development Initiatives</v>
      </c>
      <c r="C21" s="129" t="str">
        <f>'1. All Data'!D20</f>
        <v>Review a sustainable use for the future of the Market Hall</v>
      </c>
      <c r="D21" s="125" t="str">
        <f>'1. All Data'!H20</f>
        <v>On Track to be Achieved</v>
      </c>
      <c r="E21" s="98"/>
      <c r="F21" s="126" t="str">
        <f>'1. All Data'!M20</f>
        <v>On Track to be Achieved</v>
      </c>
      <c r="G21" s="98"/>
      <c r="H21" s="127">
        <f>'1. All Data'!R20</f>
        <v>0</v>
      </c>
      <c r="I21" s="98"/>
      <c r="J21" s="127">
        <f>'1. All Data'!V20</f>
        <v>0</v>
      </c>
    </row>
    <row r="22" spans="1:10" ht="99.75" customHeight="1">
      <c r="A22" s="96" t="str">
        <f>'1. All Data'!B21</f>
        <v>CR19</v>
      </c>
      <c r="B22" s="128" t="str">
        <f>'1. All Data'!C21</f>
        <v>Developing Healthy Lifestyles</v>
      </c>
      <c r="C22" s="129" t="str">
        <f>'1. All Data'!D21</f>
        <v>Working with Better Health Staffordshire, the Council will support the development of this programme and report progress on a quarterly basis</v>
      </c>
      <c r="D22" s="125" t="str">
        <f>'1. All Data'!H21</f>
        <v>On Track to be Achieved</v>
      </c>
      <c r="E22" s="98"/>
      <c r="F22" s="126" t="str">
        <f>'1. All Data'!M21</f>
        <v>On Track to be Achieved</v>
      </c>
      <c r="G22" s="98"/>
      <c r="H22" s="127">
        <f>'1. All Data'!R21</f>
        <v>0</v>
      </c>
      <c r="I22" s="98"/>
      <c r="J22" s="127">
        <f>'1. All Data'!V21</f>
        <v>0</v>
      </c>
    </row>
    <row r="23" spans="1:10" ht="99.75" customHeight="1">
      <c r="A23" s="96" t="str">
        <f>'1. All Data'!B22</f>
        <v>CR20a</v>
      </c>
      <c r="B23" s="128" t="str">
        <f>'1. All Data'!C22</f>
        <v>Major Planning Applications Determined Within 13 Weeks</v>
      </c>
      <c r="C23" s="129" t="str">
        <f>'1. All Data'!D22</f>
        <v>Top Quartile as measured against relevant DLUHC figures</v>
      </c>
      <c r="D23" s="125" t="str">
        <f>'1. All Data'!H22</f>
        <v>On Track to be Achieved</v>
      </c>
      <c r="E23" s="98"/>
      <c r="F23" s="126" t="str">
        <f>'1. All Data'!M22</f>
        <v>On Track to be Achieved</v>
      </c>
      <c r="G23" s="98"/>
      <c r="H23" s="127">
        <f>'1. All Data'!R22</f>
        <v>0</v>
      </c>
      <c r="I23" s="98"/>
      <c r="J23" s="127">
        <f>'1. All Data'!V22</f>
        <v>0</v>
      </c>
    </row>
    <row r="24" spans="1:10" ht="99.75" customHeight="1">
      <c r="A24" s="96" t="str">
        <f>'1. All Data'!B23</f>
        <v>CR20b</v>
      </c>
      <c r="B24" s="128" t="str">
        <f>'1. All Data'!C23</f>
        <v>Minor Planning Applications Determined Within 8 Weeks</v>
      </c>
      <c r="C24" s="129" t="str">
        <f>'1. All Data'!D23</f>
        <v>Top Quartile as measured against relevant DLUHC figures</v>
      </c>
      <c r="D24" s="125" t="str">
        <f>'1. All Data'!H23</f>
        <v>On Track to be Achieved</v>
      </c>
      <c r="E24" s="98"/>
      <c r="F24" s="126" t="str">
        <f>'1. All Data'!M23</f>
        <v>On Track to be Achieved</v>
      </c>
      <c r="G24" s="98"/>
      <c r="H24" s="127">
        <f>'1. All Data'!R23</f>
        <v>0</v>
      </c>
      <c r="I24" s="98"/>
      <c r="J24" s="127">
        <f>'1. All Data'!V23</f>
        <v>0</v>
      </c>
    </row>
    <row r="25" spans="1:10" ht="99.75" customHeight="1">
      <c r="A25" s="96" t="str">
        <f>'1. All Data'!B24</f>
        <v>CR20c</v>
      </c>
      <c r="B25" s="128" t="str">
        <f>'1. All Data'!C24</f>
        <v>Other Planning Applications Determined in 8 Weeks</v>
      </c>
      <c r="C25" s="129" t="str">
        <f>'1. All Data'!D24</f>
        <v>Top Quartile as measured against relevant DLUHC figures</v>
      </c>
      <c r="D25" s="125" t="str">
        <f>'1. All Data'!H24</f>
        <v>On Track to be Achieved</v>
      </c>
      <c r="E25" s="98"/>
      <c r="F25" s="126" t="str">
        <f>'1. All Data'!M24</f>
        <v>On Track to be Achieved</v>
      </c>
      <c r="G25" s="98"/>
      <c r="H25" s="127">
        <f>'1. All Data'!R24</f>
        <v>0</v>
      </c>
      <c r="I25" s="98"/>
      <c r="J25" s="127">
        <f>'1. All Data'!V24</f>
        <v>0</v>
      </c>
    </row>
    <row r="26" spans="1:10" ht="99.75" customHeight="1">
      <c r="A26" s="96" t="str">
        <f>'1. All Data'!B25</f>
        <v>CR21</v>
      </c>
      <c r="B26" s="128" t="str">
        <f>'1. All Data'!C25</f>
        <v>Maintain Qualitative Performance with Planning Application Determination</v>
      </c>
      <c r="C26" s="129" t="str">
        <f>'1. All Data'!D25</f>
        <v>The proportion of decisions on major applications that are subsequently overturned at appeal is not to exceed 0.5%</v>
      </c>
      <c r="D26" s="125" t="str">
        <f>'1. All Data'!H25</f>
        <v>Not Yet Due</v>
      </c>
      <c r="E26" s="98"/>
      <c r="F26" s="126" t="str">
        <f>'1. All Data'!M25</f>
        <v>Not Yet Due</v>
      </c>
      <c r="G26" s="105"/>
      <c r="H26" s="127">
        <f>'1. All Data'!R25</f>
        <v>0</v>
      </c>
      <c r="I26" s="98"/>
      <c r="J26" s="127">
        <f>'1. All Data'!V25</f>
        <v>0</v>
      </c>
    </row>
    <row r="27" spans="1:10" ht="99.75" customHeight="1">
      <c r="A27" s="96" t="str">
        <f>'1. All Data'!B26</f>
        <v>CR22</v>
      </c>
      <c r="B27" s="128" t="str">
        <f>'1. All Data'!C26</f>
        <v>Maintain Qualitative Performance with Planning Application Determination</v>
      </c>
      <c r="C27" s="129" t="str">
        <f>'1. All Data'!D26</f>
        <v>Implement an approach for collating customer feedback post decision notice</v>
      </c>
      <c r="D27" s="125" t="str">
        <f>'1. All Data'!H26</f>
        <v>Fully Achieved</v>
      </c>
      <c r="E27" s="98"/>
      <c r="F27" s="126" t="str">
        <f>'1. All Data'!M26</f>
        <v>Fully Achieved</v>
      </c>
      <c r="G27" s="98"/>
      <c r="H27" s="127">
        <f>'1. All Data'!R26</f>
        <v>0</v>
      </c>
      <c r="I27" s="98"/>
      <c r="J27" s="127">
        <f>'1. All Data'!V26</f>
        <v>0</v>
      </c>
    </row>
    <row r="28" spans="1:10" ht="99.75" customHeight="1">
      <c r="A28" s="96" t="str">
        <f>'1. All Data'!B27</f>
        <v>CR23a</v>
      </c>
      <c r="B28" s="128" t="str">
        <f>'1. All Data'!C27</f>
        <v>Keeping Members informed on Planning Matters</v>
      </c>
      <c r="C28" s="129" t="str">
        <f>'1. All Data'!D27</f>
        <v>9 * Planning Committee Member training sessions</v>
      </c>
      <c r="D28" s="125" t="str">
        <f>'1. All Data'!H27</f>
        <v>On Track to be Achieved</v>
      </c>
      <c r="E28" s="97"/>
      <c r="F28" s="126" t="str">
        <f>'1. All Data'!M27</f>
        <v>On Track to be Achieved</v>
      </c>
      <c r="G28" s="98"/>
      <c r="H28" s="127">
        <f>'1. All Data'!R27</f>
        <v>0</v>
      </c>
      <c r="I28" s="98"/>
      <c r="J28" s="127">
        <f>'1. All Data'!V27</f>
        <v>0</v>
      </c>
    </row>
    <row r="29" spans="1:10" ht="99.75" customHeight="1">
      <c r="A29" s="96" t="str">
        <f>'1. All Data'!B28</f>
        <v>CR23b</v>
      </c>
      <c r="B29" s="128" t="str">
        <f>'1. All Data'!C28</f>
        <v>Keeping Members informed on Planning Matters</v>
      </c>
      <c r="C29" s="129" t="str">
        <f>'1. All Data'!D28</f>
        <v>2 * All Member briefing sessions</v>
      </c>
      <c r="D29" s="125" t="str">
        <f>'1. All Data'!H28</f>
        <v>Not Yet Due</v>
      </c>
      <c r="E29" s="98"/>
      <c r="F29" s="126" t="str">
        <f>'1. All Data'!M28</f>
        <v>On Track to be Achieved</v>
      </c>
      <c r="G29" s="106"/>
      <c r="H29" s="127">
        <f>'1. All Data'!R28</f>
        <v>0</v>
      </c>
      <c r="I29" s="98"/>
      <c r="J29" s="127">
        <f>'1. All Data'!V28</f>
        <v>0</v>
      </c>
    </row>
    <row r="30" spans="1:10" ht="99.75" customHeight="1">
      <c r="A30" s="96" t="str">
        <f>'1. All Data'!B29</f>
        <v>CR24</v>
      </c>
      <c r="B30" s="128" t="str">
        <f>'1. All Data'!C29</f>
        <v>Keeping Key Stakeholders informed on Planning Matters</v>
      </c>
      <c r="C30" s="129" t="str">
        <f>'1. All Data'!D29</f>
        <v>Deliver 4 Developer Forums</v>
      </c>
      <c r="D30" s="125" t="str">
        <f>'1. All Data'!H29</f>
        <v>On Track to be Achieved</v>
      </c>
      <c r="E30" s="98"/>
      <c r="F30" s="126" t="str">
        <f>'1. All Data'!M29</f>
        <v>On Track to be Achieved</v>
      </c>
      <c r="G30" s="98"/>
      <c r="H30" s="127">
        <f>'1. All Data'!R29</f>
        <v>0</v>
      </c>
      <c r="I30" s="98"/>
      <c r="J30" s="127">
        <f>'1. All Data'!V29</f>
        <v>0</v>
      </c>
    </row>
    <row r="31" spans="1:10" ht="99.75" customHeight="1">
      <c r="A31" s="96" t="str">
        <f>'1. All Data'!B30</f>
        <v>CR25</v>
      </c>
      <c r="B31" s="128" t="str">
        <f>'1. All Data'!C30</f>
        <v>Deliver transformational regeneration for Burton upon Trent working in partnership with the Burton Town Deal Board</v>
      </c>
      <c r="C31" s="129" t="str">
        <f>'1. All Data'!D30</f>
        <v>Continue to consider the acquisition of the Molson Coors High Street campus</v>
      </c>
      <c r="D31" s="125" t="str">
        <f>'1. All Data'!H30</f>
        <v>On Track to be Achieved</v>
      </c>
      <c r="E31" s="98"/>
      <c r="F31" s="126" t="str">
        <f>'1. All Data'!M30</f>
        <v>Fully Achieved</v>
      </c>
      <c r="G31" s="98"/>
      <c r="H31" s="127">
        <f>'1. All Data'!R30</f>
        <v>0</v>
      </c>
      <c r="I31" s="98"/>
      <c r="J31" s="127">
        <f>'1. All Data'!V30</f>
        <v>0</v>
      </c>
    </row>
    <row r="32" spans="1:10" ht="99.75" customHeight="1">
      <c r="A32" s="96" t="str">
        <f>'1. All Data'!B31</f>
        <v>CR26</v>
      </c>
      <c r="B32" s="128" t="str">
        <f>'1. All Data'!C31</f>
        <v>Deliver transformational regeneration for Burton upon Trent working in partnership with the Burton Town Deal Board</v>
      </c>
      <c r="C32" s="129" t="str">
        <f>'1. All Data'!D31</f>
        <v>Complete the review of the Regional Learning Hub (Project C) business case and agree next steps</v>
      </c>
      <c r="D32" s="125" t="str">
        <f>'1. All Data'!H31</f>
        <v>Off Target</v>
      </c>
      <c r="E32" s="97"/>
      <c r="F32" s="126" t="str">
        <f>'1. All Data'!M31</f>
        <v>Off Target</v>
      </c>
      <c r="G32" s="98"/>
      <c r="H32" s="127">
        <f>'1. All Data'!R31</f>
        <v>0</v>
      </c>
      <c r="I32" s="98"/>
      <c r="J32" s="127">
        <f>'1. All Data'!V31</f>
        <v>0</v>
      </c>
    </row>
    <row r="33" spans="1:10" ht="99.75" customHeight="1">
      <c r="A33" s="96" t="str">
        <f>'1. All Data'!B32</f>
        <v>CR27</v>
      </c>
      <c r="B33" s="128" t="str">
        <f>'1. All Data'!C32</f>
        <v>Support the regeneration of Uttoxeter through the Uttoxeter Masterplan</v>
      </c>
      <c r="C33" s="129" t="str">
        <f>'1. All Data'!D32</f>
        <v>In partnership with SCC, complete the bus and parking strategy for Uttoxeter, incorporating cycling routes</v>
      </c>
      <c r="D33" s="125" t="str">
        <f>'1. All Data'!H32</f>
        <v>On Track to be Achieved</v>
      </c>
      <c r="E33" s="98"/>
      <c r="F33" s="126" t="str">
        <f>'1. All Data'!M32</f>
        <v>On Track to be Achieved</v>
      </c>
      <c r="G33" s="98"/>
      <c r="H33" s="127">
        <f>'1. All Data'!R32</f>
        <v>0</v>
      </c>
      <c r="I33" s="98"/>
      <c r="J33" s="127">
        <f>'1. All Data'!V32</f>
        <v>0</v>
      </c>
    </row>
    <row r="34" spans="1:10" ht="99.75" customHeight="1">
      <c r="A34" s="96" t="str">
        <f>'1. All Data'!B33</f>
        <v>CR28</v>
      </c>
      <c r="B34" s="128" t="str">
        <f>'1. All Data'!C33</f>
        <v>Support the regeneration of Uttoxeter through the Uttoxeter Masterplan</v>
      </c>
      <c r="C34" s="129" t="str">
        <f>'1. All Data'!D33</f>
        <v xml:space="preserve">Progress a Compulsory Purchase Order of the Maltings Precinct </v>
      </c>
      <c r="D34" s="125" t="str">
        <f>'1. All Data'!H33</f>
        <v>On Track to be Achieved</v>
      </c>
      <c r="E34" s="98"/>
      <c r="F34" s="126" t="str">
        <f>'1. All Data'!M33</f>
        <v>Fully Achieved</v>
      </c>
      <c r="G34" s="98"/>
      <c r="H34" s="127">
        <f>'1. All Data'!R33</f>
        <v>0</v>
      </c>
      <c r="I34" s="98"/>
      <c r="J34" s="127">
        <f>'1. All Data'!V33</f>
        <v>0</v>
      </c>
    </row>
    <row r="35" spans="1:10" ht="99.75" customHeight="1">
      <c r="A35" s="96" t="str">
        <f>'1. All Data'!B34</f>
        <v>CR29</v>
      </c>
      <c r="B35" s="128" t="str">
        <f>'1. All Data'!C34</f>
        <v>Support the regeneration of Uttoxeter through the Uttoxeter Masterplan</v>
      </c>
      <c r="C35" s="129" t="str">
        <f>'1. All Data'!D34</f>
        <v>Conduct further engagement with residents on proposals for regenerating the Maltings</v>
      </c>
      <c r="D35" s="125" t="str">
        <f>'1. All Data'!H34</f>
        <v>Not Yet Due</v>
      </c>
      <c r="E35" s="97"/>
      <c r="F35" s="126" t="str">
        <f>'1. All Data'!M34</f>
        <v>On Track to be Achieved</v>
      </c>
      <c r="G35" s="98"/>
      <c r="H35" s="127">
        <f>'1. All Data'!R34</f>
        <v>0</v>
      </c>
      <c r="I35" s="98"/>
      <c r="J35" s="127">
        <f>'1. All Data'!V34</f>
        <v>0</v>
      </c>
    </row>
    <row r="36" spans="1:10" ht="99.75" customHeight="1">
      <c r="A36" s="96" t="str">
        <f>'1. All Data'!B35</f>
        <v>CR30</v>
      </c>
      <c r="B36" s="128" t="str">
        <f>'1. All Data'!C35</f>
        <v>Improve the Washlands as a regional attraction</v>
      </c>
      <c r="C36" s="129" t="str">
        <f>'1. All Data'!D35</f>
        <v>Complete the delivery of the Washlands Enhancement Project</v>
      </c>
      <c r="D36" s="125" t="str">
        <f>'1. All Data'!H35</f>
        <v>Off Target</v>
      </c>
      <c r="E36" s="98"/>
      <c r="F36" s="126" t="str">
        <f>'1. All Data'!M35</f>
        <v>Off Target</v>
      </c>
      <c r="G36" s="98"/>
      <c r="H36" s="127">
        <f>'1. All Data'!R35</f>
        <v>0</v>
      </c>
      <c r="I36" s="98"/>
      <c r="J36" s="127">
        <f>'1. All Data'!V35</f>
        <v>0</v>
      </c>
    </row>
    <row r="37" spans="1:10" ht="99.75" customHeight="1">
      <c r="A37" s="96" t="str">
        <f>'1. All Data'!B36</f>
        <v>CR31</v>
      </c>
      <c r="B37" s="128" t="str">
        <f>'1. All Data'!C36</f>
        <v>Improve the Washlands as a regional attraction</v>
      </c>
      <c r="C37" s="129" t="str">
        <f>'1. All Data'!D36</f>
        <v>Work with key stakeholders to create a plan for the new Washlands Visitor Centre</v>
      </c>
      <c r="D37" s="125" t="str">
        <f>'1. All Data'!H36</f>
        <v>Not Yet Due</v>
      </c>
      <c r="E37" s="97"/>
      <c r="F37" s="126" t="str">
        <f>'1. All Data'!M36</f>
        <v>On Track to be Achieved</v>
      </c>
      <c r="G37" s="98"/>
      <c r="H37" s="127">
        <f>'1. All Data'!R36</f>
        <v>0</v>
      </c>
      <c r="I37" s="98"/>
      <c r="J37" s="127">
        <f>'1. All Data'!V36</f>
        <v>0</v>
      </c>
    </row>
    <row r="38" spans="1:10" ht="99.75" customHeight="1">
      <c r="A38" s="96" t="str">
        <f>'1. All Data'!B37</f>
        <v>CR32</v>
      </c>
      <c r="B38" s="128" t="str">
        <f>'1. All Data'!C37</f>
        <v>Support economic growth in East Staffordshire</v>
      </c>
      <c r="C38" s="129" t="str">
        <f>'1. All Data'!D37</f>
        <v>Administer a second round of the Business Springboard Boost grant throughout the year</v>
      </c>
      <c r="D38" s="125" t="str">
        <f>'1. All Data'!H37</f>
        <v>On Track to be Achieved</v>
      </c>
      <c r="E38" s="98"/>
      <c r="F38" s="126" t="str">
        <f>'1. All Data'!M37</f>
        <v>On Track to be Achieved</v>
      </c>
      <c r="G38" s="106"/>
      <c r="H38" s="127">
        <f>'1. All Data'!R37</f>
        <v>0</v>
      </c>
      <c r="I38" s="98"/>
      <c r="J38" s="127">
        <f>'1. All Data'!V37</f>
        <v>0</v>
      </c>
    </row>
    <row r="39" spans="1:10" ht="99.75" customHeight="1">
      <c r="A39" s="96" t="str">
        <f>'1. All Data'!B38</f>
        <v>CR33</v>
      </c>
      <c r="B39" s="128" t="str">
        <f>'1. All Data'!C38</f>
        <v>Support economic growth in East Staffordshire</v>
      </c>
      <c r="C39" s="129" t="str">
        <f>'1. All Data'!D38</f>
        <v>Design and launch a Local Regeneration Grant Fund for a period of 12 months</v>
      </c>
      <c r="D39" s="125" t="str">
        <f>'1. All Data'!H38</f>
        <v>Fully Achieved</v>
      </c>
      <c r="E39" s="97"/>
      <c r="F39" s="126" t="str">
        <f>'1. All Data'!M38</f>
        <v>Fully Achieved</v>
      </c>
      <c r="G39" s="106"/>
      <c r="H39" s="127">
        <f>'1. All Data'!R38</f>
        <v>0</v>
      </c>
      <c r="I39" s="98"/>
      <c r="J39" s="127">
        <f>'1. All Data'!V38</f>
        <v>0</v>
      </c>
    </row>
    <row r="40" spans="1:10" ht="99.75" customHeight="1">
      <c r="A40" s="96" t="str">
        <f>'1. All Data'!B39</f>
        <v>CR34</v>
      </c>
      <c r="B40" s="128" t="str">
        <f>'1. All Data'!C39</f>
        <v>Support economic growth in East Staffordshire</v>
      </c>
      <c r="C40" s="129" t="str">
        <f>'1. All Data'!D39</f>
        <v>Provide six monthly reporting on the marketing of Burton as a place to live and invest in</v>
      </c>
      <c r="D40" s="125" t="str">
        <f>'1. All Data'!H39</f>
        <v>On Track to be Achieved</v>
      </c>
      <c r="E40" s="98"/>
      <c r="F40" s="126" t="str">
        <f>'1. All Data'!M39</f>
        <v>On Track to be Achieved</v>
      </c>
      <c r="G40" s="98"/>
      <c r="H40" s="127">
        <f>'1. All Data'!R39</f>
        <v>0</v>
      </c>
      <c r="I40" s="98"/>
      <c r="J40" s="127">
        <f>'1. All Data'!V39</f>
        <v>0</v>
      </c>
    </row>
    <row r="41" spans="1:10" ht="99.75" customHeight="1">
      <c r="A41" s="96" t="str">
        <f>'1. All Data'!B40</f>
        <v>CR35</v>
      </c>
      <c r="B41" s="128" t="str">
        <f>'1. All Data'!C40</f>
        <v>Support economic growth in East Staffordshire</v>
      </c>
      <c r="C41" s="129" t="str">
        <f>'1. All Data'!D40</f>
        <v>Hold 6 engagement events with retail and hospitality businesses in towns and local centres within East Staffordshire</v>
      </c>
      <c r="D41" s="125" t="str">
        <f>'1. All Data'!H40</f>
        <v>On Track to be Achieved</v>
      </c>
      <c r="E41" s="98"/>
      <c r="F41" s="126" t="str">
        <f>'1. All Data'!M40</f>
        <v>On Track to be Achieved</v>
      </c>
      <c r="G41" s="98"/>
      <c r="H41" s="127">
        <f>'1. All Data'!R40</f>
        <v>0</v>
      </c>
      <c r="I41" s="98"/>
      <c r="J41" s="127">
        <f>'1. All Data'!V40</f>
        <v>0</v>
      </c>
    </row>
    <row r="42" spans="1:10" ht="99.75" customHeight="1">
      <c r="A42" s="96" t="str">
        <f>'1. All Data'!B41</f>
        <v>CR36</v>
      </c>
      <c r="B42" s="128" t="str">
        <f>'1. All Data'!C41</f>
        <v>Support economic growth in East Staffordshire</v>
      </c>
      <c r="C42" s="129" t="str">
        <f>'1. All Data'!D41</f>
        <v>Commission a detailed feasibility study for a Business Improvement District in Uttoxeter</v>
      </c>
      <c r="D42" s="125" t="str">
        <f>'1. All Data'!H41</f>
        <v>Not Yet Due</v>
      </c>
      <c r="E42" s="97"/>
      <c r="F42" s="126" t="str">
        <f>'1. All Data'!M41</f>
        <v>Fully Achieved</v>
      </c>
      <c r="G42" s="106"/>
      <c r="H42" s="127">
        <f>'1. All Data'!R41</f>
        <v>0</v>
      </c>
      <c r="I42" s="106"/>
      <c r="J42" s="127">
        <f>'1. All Data'!V41</f>
        <v>0</v>
      </c>
    </row>
    <row r="43" spans="1:10" ht="99.75" customHeight="1">
      <c r="A43" s="96" t="str">
        <f>'1. All Data'!B42</f>
        <v>CR37</v>
      </c>
      <c r="B43" s="128" t="str">
        <f>'1. All Data'!C42</f>
        <v>Deliver SMARTER Planning Services</v>
      </c>
      <c r="C43" s="129" t="str">
        <f>'1. All Data'!D42</f>
        <v>Develop Planning Service Review with project scope and timescales</v>
      </c>
      <c r="D43" s="125" t="str">
        <f>'1. All Data'!H42</f>
        <v>On Track to be Achieved</v>
      </c>
      <c r="E43" s="97"/>
      <c r="F43" s="126" t="str">
        <f>'1. All Data'!M42</f>
        <v>On Track to be Achieved</v>
      </c>
      <c r="G43" s="98"/>
      <c r="H43" s="127">
        <f>'1. All Data'!R42</f>
        <v>0</v>
      </c>
      <c r="I43" s="98"/>
      <c r="J43" s="127">
        <f>'1. All Data'!V42</f>
        <v>0</v>
      </c>
    </row>
    <row r="44" spans="1:10" ht="99.75" customHeight="1">
      <c r="A44" s="96" t="str">
        <f>'1. All Data'!B43</f>
        <v>CR38</v>
      </c>
      <c r="B44" s="128" t="str">
        <f>'1. All Data'!C43</f>
        <v>SMARTER Planning Services</v>
      </c>
      <c r="C44" s="129" t="str">
        <f>'1. All Data'!D43</f>
        <v>Update report on Planning Service Review against agreed milestones</v>
      </c>
      <c r="D44" s="125" t="str">
        <f>'1. All Data'!H43</f>
        <v>Not Yet Due</v>
      </c>
      <c r="E44" s="97"/>
      <c r="F44" s="126" t="str">
        <f>'1. All Data'!M43</f>
        <v>On Track to be Achieved</v>
      </c>
      <c r="G44" s="98"/>
      <c r="H44" s="127">
        <f>'1. All Data'!R43</f>
        <v>0</v>
      </c>
      <c r="I44" s="98"/>
      <c r="J44" s="127">
        <f>'1. All Data'!V43</f>
        <v>0</v>
      </c>
    </row>
    <row r="45" spans="1:10" ht="99.75" customHeight="1">
      <c r="A45" s="96" t="str">
        <f>'1. All Data'!B44</f>
        <v>CR39</v>
      </c>
      <c r="B45" s="128" t="str">
        <f>'1. All Data'!C44</f>
        <v>SMARTER Planning Services</v>
      </c>
      <c r="C45" s="129" t="str">
        <f>'1. All Data'!D44</f>
        <v>Update report to Strategic Digital Group on Assure Migration progress</v>
      </c>
      <c r="D45" s="125" t="str">
        <f>'1. All Data'!H44</f>
        <v>Not Yet Due</v>
      </c>
      <c r="E45" s="98"/>
      <c r="F45" s="126" t="str">
        <f>'1. All Data'!M44</f>
        <v>Not Yet Due</v>
      </c>
      <c r="G45" s="98"/>
      <c r="H45" s="127">
        <f>'1. All Data'!R44</f>
        <v>0</v>
      </c>
      <c r="I45" s="98"/>
      <c r="J45" s="127">
        <f>'1. All Data'!V44</f>
        <v>0</v>
      </c>
    </row>
    <row r="46" spans="1:10" ht="99.75" customHeight="1">
      <c r="A46" s="96" t="str">
        <f>'1. All Data'!B46</f>
        <v>EHW02</v>
      </c>
      <c r="B46" s="128" t="str">
        <f>'1. All Data'!C46</f>
        <v>Licensing and Enforcement Activities - ASB</v>
      </c>
      <c r="C46" s="129" t="str">
        <f>'1. All Data'!D46</f>
        <v>Continue to address ASB in the Borough through the establishment of an officer and partner group. Seek to increase the issuances of Fixed Penalty Notices by 10% on pre-pandemic performance (from 59)</v>
      </c>
      <c r="D46" s="125" t="str">
        <f>'1. All Data'!H46</f>
        <v>On Track to be Achieved</v>
      </c>
      <c r="E46" s="98"/>
      <c r="F46" s="126" t="str">
        <f>'1. All Data'!M46</f>
        <v>On Track to be Achieved</v>
      </c>
      <c r="G46" s="98"/>
      <c r="H46" s="127">
        <f>'1. All Data'!R46</f>
        <v>0</v>
      </c>
      <c r="I46" s="98"/>
      <c r="J46" s="127">
        <f>'1. All Data'!V46</f>
        <v>0</v>
      </c>
    </row>
    <row r="47" spans="1:10" ht="99.75" customHeight="1">
      <c r="A47" s="96" t="str">
        <f>'1. All Data'!B47</f>
        <v>EHW03</v>
      </c>
      <c r="B47" s="128" t="str">
        <f>'1. All Data'!C47</f>
        <v>Licensing and Enforcement Activities-Taxi Trade</v>
      </c>
      <c r="C47" s="129" t="str">
        <f>'1. All Data'!D47</f>
        <v>Undertake a planned programme of enforcement activity (6) to ensure compliance with the current policies and standards</v>
      </c>
      <c r="D47" s="125" t="str">
        <f>'1. All Data'!H47</f>
        <v>On Track to be Achieved</v>
      </c>
      <c r="E47" s="98"/>
      <c r="F47" s="126" t="str">
        <f>'1. All Data'!M47</f>
        <v>On Track to be Achieved</v>
      </c>
      <c r="G47" s="98"/>
      <c r="H47" s="127">
        <f>'1. All Data'!R47</f>
        <v>0</v>
      </c>
      <c r="I47" s="98"/>
      <c r="J47" s="127">
        <f>'1. All Data'!V47</f>
        <v>0</v>
      </c>
    </row>
    <row r="48" spans="1:10" ht="99.75" customHeight="1">
      <c r="A48" s="96" t="str">
        <f>'1. All Data'!B48</f>
        <v>EHW04</v>
      </c>
      <c r="B48" s="128" t="str">
        <f>'1. All Data'!C48</f>
        <v>Licensing and Enforcement Activities-Taxi Trade</v>
      </c>
      <c r="C48" s="129" t="str">
        <f>'1. All Data'!D48</f>
        <v>Work with the County Council to confirm taxi rank provision in Burton upon Trent and Uttoxeter</v>
      </c>
      <c r="D48" s="125" t="str">
        <f>'1. All Data'!H48</f>
        <v>On Track to be Achieved</v>
      </c>
      <c r="E48" s="98"/>
      <c r="F48" s="126" t="str">
        <f>'1. All Data'!M48</f>
        <v>Fully Achieved</v>
      </c>
      <c r="G48" s="98"/>
      <c r="H48" s="127">
        <f>'1. All Data'!R48</f>
        <v>0</v>
      </c>
      <c r="I48" s="98"/>
      <c r="J48" s="127">
        <f>'1. All Data'!V48</f>
        <v>0</v>
      </c>
    </row>
    <row r="49" spans="1:47" ht="99.75" customHeight="1">
      <c r="A49" s="96" t="str">
        <f>'1. All Data'!B49</f>
        <v>EHW05</v>
      </c>
      <c r="B49" s="128" t="str">
        <f>'1. All Data'!C49</f>
        <v>Partnership and Community initiatives</v>
      </c>
      <c r="C49" s="129" t="str">
        <f>'1. All Data'!D49</f>
        <v>Revise the Domestic Abuse strategy to reflect changes in legislation and emerging definitions</v>
      </c>
      <c r="D49" s="125" t="str">
        <f>'1. All Data'!H49</f>
        <v>Fully Achieved</v>
      </c>
      <c r="E49" s="98"/>
      <c r="F49" s="126" t="str">
        <f>'1. All Data'!M49</f>
        <v>Fully Achieved</v>
      </c>
      <c r="G49" s="98"/>
      <c r="H49" s="127">
        <f>'1. All Data'!R49</f>
        <v>0</v>
      </c>
      <c r="I49" s="98"/>
      <c r="J49" s="127">
        <f>'1. All Data'!V49</f>
        <v>0</v>
      </c>
    </row>
    <row r="50" spans="1:47" ht="99.75" customHeight="1">
      <c r="A50" s="96" t="str">
        <f>'1. All Data'!B50</f>
        <v>EHW06</v>
      </c>
      <c r="B50" s="128" t="str">
        <f>'1. All Data'!C50</f>
        <v>Community and Civil Enforcement</v>
      </c>
      <c r="C50" s="129" t="str">
        <f>'1. All Data'!D50</f>
        <v>Undertake a review of existing Public Space Protection Orders currently in place across the Borough and renew and amend these as appropriate</v>
      </c>
      <c r="D50" s="125" t="str">
        <f>'1. All Data'!H50</f>
        <v>On Track to be Achieved</v>
      </c>
      <c r="E50" s="98"/>
      <c r="F50" s="126" t="str">
        <f>'1. All Data'!M50</f>
        <v>On Track to be Achieved</v>
      </c>
      <c r="G50" s="106"/>
      <c r="H50" s="127">
        <f>'1. All Data'!R50</f>
        <v>0</v>
      </c>
      <c r="I50" s="106"/>
      <c r="J50" s="127">
        <f>'1. All Data'!V50</f>
        <v>0</v>
      </c>
    </row>
    <row r="51" spans="1:47" ht="99.75" customHeight="1">
      <c r="A51" s="96" t="str">
        <f>'1. All Data'!B51</f>
        <v>EHW07</v>
      </c>
      <c r="B51" s="128" t="str">
        <f>'1. All Data'!C51</f>
        <v>Climate Change Initiatives</v>
      </c>
      <c r="C51" s="129" t="str">
        <f>'1. All Data'!D51</f>
        <v>Provide an interim report on ‘in year’ progress on the Climate Change Action Plan</v>
      </c>
      <c r="D51" s="125" t="str">
        <f>'1. All Data'!H51</f>
        <v>On Track to be Achieved</v>
      </c>
      <c r="E51" s="97"/>
      <c r="F51" s="126" t="str">
        <f>'1. All Data'!M51</f>
        <v>On Track to be Achieved</v>
      </c>
      <c r="G51" s="98"/>
      <c r="H51" s="127">
        <f>'1. All Data'!R51</f>
        <v>0</v>
      </c>
      <c r="I51" s="98"/>
      <c r="J51" s="127">
        <f>'1. All Data'!V51</f>
        <v>0</v>
      </c>
    </row>
    <row r="52" spans="1:47" ht="99.75" customHeight="1">
      <c r="A52" s="96" t="str">
        <f>'1. All Data'!B52</f>
        <v>EHW08</v>
      </c>
      <c r="B52" s="128" t="str">
        <f>'1. All Data'!C52</f>
        <v>Climate Change Initiatives</v>
      </c>
      <c r="C52" s="129" t="str">
        <f>'1. All Data'!D52</f>
        <v>Undertake a number of Climate Change initiatives as outlined in the Action Plan for 2022/23. Including developing an electric vehicle (EV) strategy for East Staffordshire and the delivery of 3 EV charging points in Burton</v>
      </c>
      <c r="D52" s="125" t="str">
        <f>'1. All Data'!H52</f>
        <v>On Track to be Achieved</v>
      </c>
      <c r="E52" s="97"/>
      <c r="F52" s="126" t="str">
        <f>'1. All Data'!M52</f>
        <v>On Track to be Achieved</v>
      </c>
      <c r="G52" s="98"/>
      <c r="H52" s="127">
        <f>'1. All Data'!R52</f>
        <v>0</v>
      </c>
      <c r="I52" s="98"/>
      <c r="J52" s="127">
        <f>'1. All Data'!V52</f>
        <v>0</v>
      </c>
    </row>
    <row r="53" spans="1:47" ht="99.75" customHeight="1">
      <c r="A53" s="96" t="str">
        <f>'1. All Data'!B55</f>
        <v>EHW11</v>
      </c>
      <c r="B53" s="128" t="str">
        <f>'1. All Data'!C55</f>
        <v>Brewhouse and Town Hall Service</v>
      </c>
      <c r="C53" s="129" t="str">
        <f>'1. All Data'!D55</f>
        <v>Deliver a programme of 6 Outdoor events to take place across the Boroughs parks and green spaces during summer 2022 including 1 ‘flagship’ outdoor theatre event</v>
      </c>
      <c r="D53" s="125" t="str">
        <f>'1. All Data'!H55</f>
        <v>On Track to be Achieved</v>
      </c>
      <c r="E53" s="98"/>
      <c r="F53" s="126" t="str">
        <f>'1. All Data'!M55</f>
        <v>Fully Achieved</v>
      </c>
      <c r="G53" s="98"/>
      <c r="H53" s="127">
        <f>'1. All Data'!R55</f>
        <v>0</v>
      </c>
      <c r="I53" s="98"/>
      <c r="J53" s="127">
        <f>'1. All Data'!V55</f>
        <v>0</v>
      </c>
    </row>
    <row r="54" spans="1:47" ht="147">
      <c r="A54" s="96" t="str">
        <f>'1. All Data'!B56</f>
        <v>EHW12</v>
      </c>
      <c r="B54" s="128" t="str">
        <f>'1. All Data'!C56</f>
        <v>Brewhouse and Town Hall Service</v>
      </c>
      <c r="C54" s="129" t="str">
        <f>'1. All Data'!D56</f>
        <v>Develop a number of new partnerships including the delivery of a series of arts events that will take place across the Jubilee Weekend; including the launch of the Big Burton Carousel Art Trail</v>
      </c>
      <c r="D54" s="125" t="str">
        <f>'1. All Data'!H56</f>
        <v>On Track to be Achieved</v>
      </c>
      <c r="E54" s="97"/>
      <c r="F54" s="126" t="str">
        <f>'1. All Data'!M56</f>
        <v>On Track to be Achieved</v>
      </c>
      <c r="G54" s="106"/>
      <c r="H54" s="127">
        <f>'1. All Data'!R56</f>
        <v>0</v>
      </c>
      <c r="I54" s="98"/>
      <c r="J54" s="127">
        <f>'1. All Data'!V56</f>
        <v>0</v>
      </c>
    </row>
    <row r="55" spans="1:47" ht="99.75" customHeight="1">
      <c r="A55" s="96" t="str">
        <f>'1. All Data'!B57</f>
        <v>EHW13</v>
      </c>
      <c r="B55" s="128" t="str">
        <f>'1. All Data'!C57</f>
        <v>Brewhouse and Town Hall Service</v>
      </c>
      <c r="C55" s="129" t="str">
        <f>'1. All Data'!D57</f>
        <v>Support the delivery of the Burton Ale Trail</v>
      </c>
      <c r="D55" s="125" t="str">
        <f>'1. All Data'!H57</f>
        <v>On Track to be Achieved</v>
      </c>
      <c r="E55" s="98"/>
      <c r="F55" s="126" t="str">
        <f>'1. All Data'!M57</f>
        <v>Fully Achieved</v>
      </c>
      <c r="G55" s="98"/>
      <c r="H55" s="127">
        <f>'1. All Data'!R57</f>
        <v>0</v>
      </c>
      <c r="I55" s="98"/>
      <c r="J55" s="127">
        <f>'1. All Data'!V57</f>
        <v>0</v>
      </c>
    </row>
    <row r="56" spans="1:47" ht="99.75" customHeight="1">
      <c r="A56" s="96" t="str">
        <f>'1. All Data'!B58</f>
        <v>EHW14</v>
      </c>
      <c r="B56" s="128" t="str">
        <f>'1. All Data'!C58</f>
        <v>Brewhouse and Town Hall Service</v>
      </c>
      <c r="C56" s="129" t="str">
        <f>'1. All Data'!D58</f>
        <v>Continue to build our digital presence in support of the professional live theatre and entertainment programme, including 4 professional live programmed events at Burton Town Hall</v>
      </c>
      <c r="D56" s="125" t="str">
        <f>'1. All Data'!H58</f>
        <v>On Track to be Achieved</v>
      </c>
      <c r="E56" s="98"/>
      <c r="F56" s="126" t="str">
        <f>'1. All Data'!M58</f>
        <v>On Track to be Achieved</v>
      </c>
      <c r="G56" s="98"/>
      <c r="H56" s="127">
        <f>'1. All Data'!R58</f>
        <v>0</v>
      </c>
      <c r="I56" s="98"/>
      <c r="J56" s="127">
        <f>'1. All Data'!V58</f>
        <v>0</v>
      </c>
      <c r="AU56" s="99"/>
    </row>
    <row r="57" spans="1:47" s="112" customFormat="1" ht="87.6">
      <c r="A57" s="96" t="str">
        <f>'1. All Data'!B59</f>
        <v>EHW15a</v>
      </c>
      <c r="B57" s="128" t="str">
        <f>'1. All Data'!C59</f>
        <v>Maintain Performance For Street Cleansing</v>
      </c>
      <c r="C57" s="129" t="str">
        <f>'1. All Data'!D59</f>
        <v>Litter
0% (using NI195 survey methodology)</v>
      </c>
      <c r="D57" s="125" t="str">
        <f>'1. All Data'!H59</f>
        <v>Not Yet Due</v>
      </c>
      <c r="E57" s="97"/>
      <c r="F57" s="126" t="str">
        <f>'1. All Data'!M59</f>
        <v>On Track to be Achieved</v>
      </c>
      <c r="G57" s="98"/>
      <c r="H57" s="127">
        <f>'1. All Data'!R59</f>
        <v>0</v>
      </c>
      <c r="I57" s="98"/>
      <c r="J57" s="127">
        <f>'1. All Data'!V59</f>
        <v>0</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EHW15d</v>
      </c>
      <c r="B58" s="128" t="str">
        <f>'1. All Data'!C62</f>
        <v>Maintain Performance For Street Cleansing</v>
      </c>
      <c r="C58" s="129" t="str">
        <f>'1. All Data'!D62</f>
        <v>Fly-posting
0% (using NI195 survey methodology)</v>
      </c>
      <c r="D58" s="125" t="str">
        <f>'1. All Data'!H62</f>
        <v>Not Yet Due</v>
      </c>
      <c r="E58" s="98"/>
      <c r="F58" s="126" t="str">
        <f>'1. All Data'!M62</f>
        <v>On Track to be Achieved</v>
      </c>
      <c r="G58" s="98"/>
      <c r="H58" s="127">
        <f>'1. All Data'!R62</f>
        <v>0</v>
      </c>
      <c r="I58" s="98"/>
      <c r="J58" s="127">
        <f>'1. All Data'!V62</f>
        <v>0</v>
      </c>
    </row>
    <row r="59" spans="1:47" ht="99.75" customHeight="1">
      <c r="A59" s="96" t="str">
        <f>'1. All Data'!B63</f>
        <v>EHW16</v>
      </c>
      <c r="B59" s="128" t="str">
        <f>'1. All Data'!C63</f>
        <v xml:space="preserve">Maintain Performance On Recycling </v>
      </c>
      <c r="C59" s="129" t="str">
        <f>'1. All Data'!D63</f>
        <v>Household Waste Recycled and Composted: Upper Quartile</v>
      </c>
      <c r="D59" s="125" t="str">
        <f>'1. All Data'!H63</f>
        <v>On Track to be Achieved</v>
      </c>
      <c r="E59" s="97"/>
      <c r="F59" s="126" t="str">
        <f>'1. All Data'!M63</f>
        <v>On Track to be Achieved</v>
      </c>
      <c r="G59" s="98"/>
      <c r="H59" s="127">
        <f>'1. All Data'!R63</f>
        <v>0</v>
      </c>
      <c r="I59" s="98"/>
      <c r="J59" s="127">
        <f>'1. All Data'!V63</f>
        <v>0</v>
      </c>
    </row>
    <row r="60" spans="1:47" ht="99.75" customHeight="1">
      <c r="A60" s="96" t="str">
        <f>'1. All Data'!B64</f>
        <v>EHW17</v>
      </c>
      <c r="B60" s="128" t="str">
        <f>'1. All Data'!C64</f>
        <v xml:space="preserve">Improve Performance On Waste Reduction </v>
      </c>
      <c r="C60" s="129" t="str">
        <f>'1. All Data'!D64</f>
        <v>Residual Household Waste Per Household: Upper Quartile.</v>
      </c>
      <c r="D60" s="125" t="str">
        <f>'1. All Data'!H64</f>
        <v>On Track to be Achieved</v>
      </c>
      <c r="E60" s="98"/>
      <c r="F60" s="126" t="str">
        <f>'1. All Data'!M64</f>
        <v>On Track to be Achieved</v>
      </c>
      <c r="G60" s="113"/>
      <c r="H60" s="127">
        <f>'1. All Data'!R64</f>
        <v>0</v>
      </c>
      <c r="I60" s="113"/>
      <c r="J60" s="127">
        <f>'1. All Data'!V64</f>
        <v>0</v>
      </c>
    </row>
    <row r="61" spans="1:47" s="117" customFormat="1" ht="69.75" customHeight="1">
      <c r="A61" s="96" t="str">
        <f>'1. All Data'!B65</f>
        <v>EHW18</v>
      </c>
      <c r="B61" s="128" t="str">
        <f>'1. All Data'!C65</f>
        <v>Minimise The Number Of Missed Bin Collections</v>
      </c>
      <c r="C61" s="129" t="str">
        <f>'1. All Data'!D65</f>
        <v xml:space="preserve">Number Of Missed Bin Collections: Achieve 99.97% successful bin collections across the Borough </v>
      </c>
      <c r="D61" s="125" t="str">
        <f>'1. All Data'!H65</f>
        <v>On Track to be Achieved</v>
      </c>
      <c r="E61" s="97"/>
      <c r="F61" s="126" t="str">
        <f>'1. All Data'!M65</f>
        <v>On Track to be Achieved</v>
      </c>
      <c r="G61" s="115"/>
      <c r="H61" s="127">
        <f>'1. All Data'!R65</f>
        <v>0</v>
      </c>
      <c r="I61" s="115"/>
      <c r="J61" s="127">
        <f>'1. All Data'!V65</f>
        <v>0</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EHW19</v>
      </c>
      <c r="B62" s="128" t="str">
        <f>'1. All Data'!C66</f>
        <v>Improving Recycling Performance</v>
      </c>
      <c r="C62" s="129" t="str">
        <f>'1. All Data'!D66</f>
        <v>Go live with new fibre-separate dry recycling service</v>
      </c>
      <c r="D62" s="125" t="str">
        <f>'1. All Data'!H66</f>
        <v>Fully Achieved</v>
      </c>
      <c r="E62" s="98"/>
      <c r="F62" s="126" t="str">
        <f>'1. All Data'!M66</f>
        <v>Fully Achieved</v>
      </c>
      <c r="G62" s="98"/>
      <c r="H62" s="127">
        <f>'1. All Data'!R66</f>
        <v>0</v>
      </c>
      <c r="I62" s="98"/>
      <c r="J62" s="127">
        <f>'1. All Data'!V66</f>
        <v>0</v>
      </c>
    </row>
    <row r="63" spans="1:47" ht="99.75" customHeight="1">
      <c r="A63" s="96" t="str">
        <f>'1. All Data'!B67</f>
        <v>EHW20</v>
      </c>
      <c r="B63" s="128" t="str">
        <f>'1. All Data'!C67</f>
        <v>Improving Recycling Performance</v>
      </c>
      <c r="C63" s="129" t="str">
        <f>'1. All Data'!D67</f>
        <v>Initiate new recycling communication campaign</v>
      </c>
      <c r="D63" s="125" t="str">
        <f>'1. All Data'!H67</f>
        <v>On Track to be Achieved</v>
      </c>
      <c r="E63" s="98"/>
      <c r="F63" s="126" t="str">
        <f>'1. All Data'!M67</f>
        <v>Fully Achieved</v>
      </c>
      <c r="G63" s="98"/>
      <c r="H63" s="127">
        <f>'1. All Data'!R67</f>
        <v>0</v>
      </c>
      <c r="I63" s="98"/>
      <c r="J63" s="127">
        <f>'1. All Data'!V67</f>
        <v>0</v>
      </c>
    </row>
    <row r="64" spans="1:47" ht="99.75" customHeight="1">
      <c r="A64" s="96" t="str">
        <f>'1. All Data'!B68</f>
        <v>EHW21</v>
      </c>
      <c r="B64" s="128" t="str">
        <f>'1. All Data'!C68</f>
        <v>Further Development of SMARTER working  (Waste Collection &amp; Street Cleaning)</v>
      </c>
      <c r="C64" s="129" t="str">
        <f>'1. All Data'!D68</f>
        <v>Performance Report on progress and next steps with the potential of a shared service</v>
      </c>
      <c r="D64" s="125" t="str">
        <f>'1. All Data'!H68</f>
        <v>Not Yet Due</v>
      </c>
      <c r="E64" s="98"/>
      <c r="F64" s="126" t="str">
        <f>'1. All Data'!M68</f>
        <v>On Track to be Achieved</v>
      </c>
      <c r="G64" s="98"/>
      <c r="H64" s="127">
        <f>'1. All Data'!R68</f>
        <v>0</v>
      </c>
      <c r="I64" s="98"/>
      <c r="J64" s="127">
        <f>'1. All Data'!V68</f>
        <v>0</v>
      </c>
    </row>
    <row r="65" spans="1:10" ht="99.75" customHeight="1">
      <c r="A65" s="96" t="str">
        <f>'1. All Data'!B69</f>
        <v>EHW22</v>
      </c>
      <c r="B65" s="128" t="str">
        <f>'1. All Data'!C69</f>
        <v>Further Development of SMARTER working  (Waste Collection &amp; Street Cleaning)</v>
      </c>
      <c r="C65" s="129" t="str">
        <f>'1. All Data'!D69</f>
        <v xml:space="preserve">Conduct a trial with a ‘greener’ waste-collection vehicle </v>
      </c>
      <c r="D65" s="125" t="str">
        <f>'1. All Data'!H69</f>
        <v>On Track to be Achieved</v>
      </c>
      <c r="E65" s="98"/>
      <c r="F65" s="126" t="str">
        <f>'1. All Data'!M69</f>
        <v>Not Yet Due</v>
      </c>
      <c r="G65" s="98"/>
      <c r="H65" s="127">
        <f>'1. All Data'!R69</f>
        <v>0</v>
      </c>
      <c r="I65" s="98"/>
      <c r="J65" s="127">
        <f>'1. All Data'!V69</f>
        <v>0</v>
      </c>
    </row>
    <row r="66" spans="1:10" ht="99.75" customHeight="1">
      <c r="A66" s="96" t="str">
        <f>'1. All Data'!B70</f>
        <v>EHW23</v>
      </c>
      <c r="B66" s="128" t="str">
        <f>'1. All Data'!C70</f>
        <v>Further Development of SMARTER working  (Waste Collection &amp; Street Cleaning)</v>
      </c>
      <c r="C66" s="129" t="str">
        <f>'1. All Data'!D70</f>
        <v xml:space="preserve">Carry out a review of the Trade Waste Service  </v>
      </c>
      <c r="D66" s="125" t="str">
        <f>'1. All Data'!H70</f>
        <v>Not Yet Due</v>
      </c>
      <c r="E66" s="98"/>
      <c r="F66" s="126" t="str">
        <f>'1. All Data'!M70</f>
        <v>On Track to be Achieved</v>
      </c>
      <c r="G66" s="98"/>
      <c r="H66" s="127">
        <f>'1. All Data'!R70</f>
        <v>0</v>
      </c>
      <c r="I66" s="98"/>
      <c r="J66" s="127">
        <f>'1. All Data'!V70</f>
        <v>0</v>
      </c>
    </row>
    <row r="67" spans="1:10" ht="99.75" customHeight="1">
      <c r="A67" s="96" t="str">
        <f>'1. All Data'!B71</f>
        <v>EHW24</v>
      </c>
      <c r="B67" s="128" t="str">
        <f>'1. All Data'!C71</f>
        <v xml:space="preserve">Housing Strategy Initiatives: Update on Improvements to the Housing Register </v>
      </c>
      <c r="C67" s="129" t="str">
        <f>'1. All Data'!D71</f>
        <v>Produce an update report and next steps for revised Housing Register and Allocations Service Contract</v>
      </c>
      <c r="D67" s="125" t="str">
        <f>'1. All Data'!H71</f>
        <v>Not Yet Due</v>
      </c>
      <c r="E67" s="98"/>
      <c r="F67" s="126" t="str">
        <f>'1. All Data'!M71</f>
        <v>On Track to be Achieved</v>
      </c>
      <c r="G67" s="98"/>
      <c r="H67" s="127">
        <f>'1. All Data'!R71</f>
        <v>0</v>
      </c>
      <c r="I67" s="98"/>
      <c r="J67" s="127">
        <f>'1. All Data'!V71</f>
        <v>0</v>
      </c>
    </row>
    <row r="68" spans="1:10" ht="99.75" customHeight="1">
      <c r="A68" s="96" t="str">
        <f>'1. All Data'!B72</f>
        <v>EHW25</v>
      </c>
      <c r="B68" s="128" t="str">
        <f>'1. All Data'!C72</f>
        <v>Housing Strategy Initiatives: Proactively reducing the number of empty homes in the borough</v>
      </c>
      <c r="C68" s="129" t="str">
        <f>'1. All Data'!D72</f>
        <v>Performance report identifying the reduction in empty homes</v>
      </c>
      <c r="D68" s="125" t="str">
        <f>'1. All Data'!H72</f>
        <v>Not Yet Due</v>
      </c>
      <c r="E68" s="98"/>
      <c r="F68" s="126" t="str">
        <f>'1. All Data'!M72</f>
        <v>Not Yet Due</v>
      </c>
      <c r="G68" s="98"/>
      <c r="H68" s="127">
        <f>'1. All Data'!R72</f>
        <v>0</v>
      </c>
      <c r="I68" s="98"/>
      <c r="J68" s="127">
        <f>'1. All Data'!V72</f>
        <v>0</v>
      </c>
    </row>
    <row r="69" spans="1:10" ht="99.75" customHeight="1">
      <c r="A69" s="96" t="str">
        <f>'1. All Data'!B73</f>
        <v>EHW26</v>
      </c>
      <c r="B69" s="128" t="str">
        <f>'1. All Data'!C73</f>
        <v>Delivering Better Services to Support Homelessness</v>
      </c>
      <c r="C69" s="129" t="str">
        <f>'1. All Data'!D73</f>
        <v>Develop the approach for the delivery of the new Rough Sleepers Outreach Service</v>
      </c>
      <c r="D69" s="125" t="str">
        <f>'1. All Data'!H73</f>
        <v>On Track to be Achieved</v>
      </c>
      <c r="E69" s="98"/>
      <c r="F69" s="126" t="str">
        <f>'1. All Data'!M73</f>
        <v>On Track to be Achieved</v>
      </c>
      <c r="G69" s="106"/>
      <c r="H69" s="127">
        <f>'1. All Data'!R73</f>
        <v>0</v>
      </c>
      <c r="I69" s="106"/>
      <c r="J69" s="127">
        <f>'1. All Data'!V73</f>
        <v>0</v>
      </c>
    </row>
    <row r="70" spans="1:10" ht="99.75" customHeight="1">
      <c r="A70" s="96" t="str">
        <f>'1. All Data'!B74</f>
        <v>EHW27</v>
      </c>
      <c r="B70" s="128" t="str">
        <f>'1. All Data'!C74</f>
        <v>Delivering Better Services to Support Homelessness</v>
      </c>
      <c r="C70" s="129" t="str">
        <f>'1. All Data'!D74</f>
        <v>Average time from appointment to initial decision for homeless applicants of 3 days</v>
      </c>
      <c r="D70" s="125" t="str">
        <f>'1. All Data'!H74</f>
        <v>On Track to be Achieved</v>
      </c>
      <c r="E70" s="98"/>
      <c r="F70" s="126" t="str">
        <f>'1. All Data'!M74</f>
        <v>On Track to be Achieved</v>
      </c>
      <c r="G70" s="106"/>
      <c r="H70" s="127">
        <f>'1. All Data'!R74</f>
        <v>0</v>
      </c>
      <c r="I70" s="106"/>
      <c r="J70" s="127">
        <f>'1. All Data'!V74</f>
        <v>0</v>
      </c>
    </row>
    <row r="71" spans="1:10" ht="99.75" customHeight="1">
      <c r="A71" s="96" t="str">
        <f>'1. All Data'!B75</f>
        <v>EHW28</v>
      </c>
      <c r="B71" s="128" t="str">
        <f>'1. All Data'!C75</f>
        <v>Delivering Better Services to Support Homelessness</v>
      </c>
      <c r="C71" s="129" t="str">
        <f>'1. All Data'!D75</f>
        <v>Maintain ‘Key to Key’ Void Turnaround to an average of 6 working days</v>
      </c>
      <c r="D71" s="125" t="str">
        <f>'1. All Data'!H75</f>
        <v>On Track to be Achieved</v>
      </c>
      <c r="E71" s="98"/>
      <c r="F71" s="126" t="str">
        <f>'1. All Data'!M75</f>
        <v>On Track to be Achieved</v>
      </c>
      <c r="G71" s="106"/>
      <c r="H71" s="127">
        <f>'1. All Data'!R75</f>
        <v>0</v>
      </c>
      <c r="I71" s="106"/>
      <c r="J71" s="127">
        <f>'1. All Data'!V75</f>
        <v>0</v>
      </c>
    </row>
    <row r="72" spans="1:10" ht="99.75" customHeight="1">
      <c r="A72" s="96" t="str">
        <f>'1. All Data'!B76</f>
        <v>EHW29</v>
      </c>
      <c r="B72" s="128" t="str">
        <f>'1. All Data'!C76</f>
        <v>Delivering Better Services to Support Homelessness</v>
      </c>
      <c r="C72" s="129" t="str">
        <f>'1. All Data'!D76</f>
        <v>Carryout relevant procurement and service redesign, following the outcome of RSI 5</v>
      </c>
      <c r="D72" s="125" t="str">
        <f>'1. All Data'!H76</f>
        <v>Not Yet Due</v>
      </c>
      <c r="E72" s="97"/>
      <c r="F72" s="126" t="str">
        <f>'1. All Data'!M76</f>
        <v>Fully Achieved</v>
      </c>
      <c r="G72" s="98"/>
      <c r="H72" s="127">
        <f>'1. All Data'!R76</f>
        <v>0</v>
      </c>
      <c r="I72" s="98"/>
      <c r="J72" s="127">
        <f>'1. All Data'!V76</f>
        <v>0</v>
      </c>
    </row>
    <row r="73" spans="1:10" ht="99.75" customHeight="1">
      <c r="A73" s="96" t="str">
        <f>'1. All Data'!B77</f>
        <v>EHW30</v>
      </c>
      <c r="B73" s="128" t="str">
        <f>'1. All Data'!C77</f>
        <v xml:space="preserve">Supporting Sports and Leisure Delivery Partners </v>
      </c>
      <c r="C73" s="129" t="str">
        <f>'1. All Data'!D77</f>
        <v>Investigate opportunities to establish an enhanced Play Day event in conjunction with Everyone Active</v>
      </c>
      <c r="D73" s="125" t="str">
        <f>'1. All Data'!H77</f>
        <v>On Track to be Achieved</v>
      </c>
      <c r="E73" s="98"/>
      <c r="F73" s="126" t="str">
        <f>'1. All Data'!M77</f>
        <v>Fully Achieved</v>
      </c>
      <c r="G73" s="98"/>
      <c r="H73" s="127">
        <f>'1. All Data'!R77</f>
        <v>0</v>
      </c>
      <c r="I73" s="98"/>
      <c r="J73" s="127">
        <f>'1. All Data'!V77</f>
        <v>0</v>
      </c>
    </row>
    <row r="74" spans="1:10" ht="99.75" customHeight="1">
      <c r="A74" s="96" t="str">
        <f>'1. All Data'!B79</f>
        <v>EHW32</v>
      </c>
      <c r="B74" s="128" t="str">
        <f>'1. All Data'!C79</f>
        <v xml:space="preserve">Open Spaces Initiatives </v>
      </c>
      <c r="C74" s="129" t="str">
        <f>'1. All Data'!D79</f>
        <v>Complete a second year review of the Parks Development Plan</v>
      </c>
      <c r="D74" s="125" t="str">
        <f>'1. All Data'!H79</f>
        <v>Not Yet Due</v>
      </c>
      <c r="E74" s="98"/>
      <c r="F74" s="126" t="str">
        <f>'1. All Data'!M79</f>
        <v>Not Yet Due</v>
      </c>
      <c r="G74" s="106"/>
      <c r="H74" s="127">
        <f>'1. All Data'!R79</f>
        <v>0</v>
      </c>
      <c r="I74" s="98"/>
      <c r="J74" s="127">
        <f>'1. All Data'!V79</f>
        <v>0</v>
      </c>
    </row>
    <row r="75" spans="1:10" ht="99.75" customHeight="1">
      <c r="A75" s="96" t="str">
        <f>'1. All Data'!B82</f>
        <v>EHW35</v>
      </c>
      <c r="B75" s="128" t="str">
        <f>'1. All Data'!C82</f>
        <v>Open Spaces Initiatives</v>
      </c>
      <c r="C75" s="129" t="str">
        <f>'1. All Data'!D82</f>
        <v>Undertake a review of the play equipment provision within East Staffordshire</v>
      </c>
      <c r="D75" s="125" t="str">
        <f>'1. All Data'!H82</f>
        <v>Fully Achieved</v>
      </c>
      <c r="E75" s="98"/>
      <c r="F75" s="126" t="str">
        <f>'1. All Data'!M82</f>
        <v>Fully Achieved</v>
      </c>
      <c r="G75" s="98"/>
      <c r="H75" s="127">
        <f>'1. All Data'!R82</f>
        <v>0</v>
      </c>
      <c r="I75" s="98"/>
      <c r="J75" s="127">
        <f>'1. All Data'!V82</f>
        <v>0</v>
      </c>
    </row>
    <row r="76" spans="1:10" ht="99.75" customHeight="1">
      <c r="A76" s="96" t="str">
        <f>'1. All Data'!B84</f>
        <v>EHW37</v>
      </c>
      <c r="B76" s="128" t="str">
        <f>'1. All Data'!C84</f>
        <v>Open Spaces Initiatives</v>
      </c>
      <c r="C76" s="129" t="str">
        <f>'1. All Data'!D84</f>
        <v>Develop proposals to upgrade the amenities at Branston Water Park</v>
      </c>
      <c r="D76" s="125" t="str">
        <f>'1. All Data'!H84</f>
        <v>On Track to be Achieved</v>
      </c>
      <c r="E76" s="98"/>
      <c r="F76" s="126" t="str">
        <f>'1. All Data'!M84</f>
        <v>On Track to be Achieved</v>
      </c>
      <c r="G76" s="98"/>
      <c r="H76" s="127">
        <f>'1. All Data'!R84</f>
        <v>0</v>
      </c>
      <c r="I76" s="98"/>
      <c r="J76" s="127">
        <f>'1. All Data'!V84</f>
        <v>0</v>
      </c>
    </row>
    <row r="77" spans="1:10" ht="147">
      <c r="A77" s="96" t="str">
        <f>'1. All Data'!B85</f>
        <v>EHW38</v>
      </c>
      <c r="B77" s="128" t="str">
        <f>'1. All Data'!C85</f>
        <v>Open Spaces Initiatives</v>
      </c>
      <c r="C77" s="129" t="str">
        <f>'1. All Data'!D85</f>
        <v>Review and update the Council’s Tree Policy to provide guidance on increased levels of tree planting resulting from initiatives relating to the Climate Change emergency</v>
      </c>
      <c r="D77" s="125" t="str">
        <f>'1. All Data'!H85</f>
        <v>Not Yet Due</v>
      </c>
      <c r="E77" s="97"/>
      <c r="F77" s="126" t="str">
        <f>'1. All Data'!M85</f>
        <v>Not Yet Due</v>
      </c>
      <c r="G77" s="98"/>
      <c r="H77" s="127">
        <f>'1. All Data'!R85</f>
        <v>0</v>
      </c>
      <c r="I77" s="98"/>
      <c r="J77" s="127">
        <f>'1. All Data'!V85</f>
        <v>0</v>
      </c>
    </row>
    <row r="78" spans="1:10" ht="99.75" customHeight="1">
      <c r="A78" s="96" t="str">
        <f>'1. All Data'!B88</f>
        <v>EHW41</v>
      </c>
      <c r="B78" s="128" t="str">
        <f>'1. All Data'!C88</f>
        <v>New &amp; Refreshed Planning Policies</v>
      </c>
      <c r="C78" s="129" t="str">
        <f>'1. All Data'!D88</f>
        <v>Update Housing Choice SPD</v>
      </c>
      <c r="D78" s="125" t="str">
        <f>'1. All Data'!H88</f>
        <v>On Track to be Achieved</v>
      </c>
      <c r="E78" s="97"/>
      <c r="F78" s="126" t="str">
        <f>'1. All Data'!M88</f>
        <v>On Track to be Achieved</v>
      </c>
      <c r="G78" s="105"/>
      <c r="H78" s="127">
        <f>'1. All Data'!R88</f>
        <v>0</v>
      </c>
      <c r="I78" s="105"/>
      <c r="J78" s="127">
        <f>'1. All Data'!V88</f>
        <v>0</v>
      </c>
    </row>
    <row r="79" spans="1:10" ht="99.75" customHeight="1">
      <c r="A79" s="96" t="str">
        <f>'1. All Data'!B89</f>
        <v>EHW42</v>
      </c>
      <c r="B79" s="128" t="str">
        <f>'1. All Data'!C89</f>
        <v>New &amp; Refreshed Planning Policies</v>
      </c>
      <c r="C79" s="129" t="str">
        <f>'1. All Data'!D89</f>
        <v>Report considering the merits of an ARTICLE 4 (Retail/Residential) in the town centre</v>
      </c>
      <c r="D79" s="125" t="str">
        <f>'1. All Data'!H89</f>
        <v>Fully Achieved</v>
      </c>
      <c r="E79" s="97"/>
      <c r="F79" s="126" t="str">
        <f>'1. All Data'!M89</f>
        <v>Fully Achieved</v>
      </c>
      <c r="G79" s="98"/>
      <c r="H79" s="127">
        <f>'1. All Data'!R89</f>
        <v>0</v>
      </c>
      <c r="I79" s="98"/>
      <c r="J79" s="127">
        <f>'1. All Data'!V89</f>
        <v>0</v>
      </c>
    </row>
    <row r="80" spans="1:10" ht="99.75" customHeight="1">
      <c r="A80" s="96" t="str">
        <f>'1. All Data'!B90</f>
        <v>EHW43</v>
      </c>
      <c r="B80" s="128" t="str">
        <f>'1. All Data'!C90</f>
        <v>Monitor Performance of the Local Plan</v>
      </c>
      <c r="C80" s="129" t="str">
        <f>'1. All Data'!D90</f>
        <v>Complete the annual review of the Local Plan</v>
      </c>
      <c r="D80" s="125" t="str">
        <f>'1. All Data'!H90</f>
        <v>On Track to be Achieved</v>
      </c>
      <c r="E80" s="98"/>
      <c r="F80" s="126" t="str">
        <f>'1. All Data'!M90</f>
        <v>On Track to be Achieved</v>
      </c>
      <c r="G80" s="98"/>
      <c r="H80" s="127">
        <f>'1. All Data'!R90</f>
        <v>0</v>
      </c>
      <c r="I80" s="98"/>
      <c r="J80" s="127">
        <f>'1. All Data'!V90</f>
        <v>0</v>
      </c>
    </row>
    <row r="81" spans="1:46" ht="99.75" customHeight="1">
      <c r="A81" s="96" t="str">
        <f>'1. All Data'!B91</f>
        <v>VFM01</v>
      </c>
      <c r="B81" s="128" t="str">
        <f>'1. All Data'!C91</f>
        <v>Increasing Staffing Availability Through Reduced Sickness</v>
      </c>
      <c r="C81" s="129" t="str">
        <f>'1. All Data'!D91</f>
        <v>Short Term Sickness Days Average number per FTE: 3.22 days</v>
      </c>
      <c r="D81" s="125" t="str">
        <f>'1. All Data'!H91</f>
        <v>On Track to be Achieved</v>
      </c>
      <c r="E81" s="98"/>
      <c r="F81" s="126" t="str">
        <f>'1. All Data'!M91</f>
        <v>In Danger of Falling Behind Target</v>
      </c>
      <c r="G81" s="98"/>
      <c r="H81" s="127">
        <f>'1. All Data'!R91</f>
        <v>0</v>
      </c>
      <c r="I81" s="98"/>
      <c r="J81" s="127">
        <f>'1. All Data'!V91</f>
        <v>0</v>
      </c>
    </row>
    <row r="82" spans="1:46" s="112" customFormat="1" ht="87.6">
      <c r="A82" s="96" t="str">
        <f>'1. All Data'!B92</f>
        <v>VFM02</v>
      </c>
      <c r="B82" s="128" t="str">
        <f>'1. All Data'!C92</f>
        <v>Improve On The Average Time To Pay Creditors</v>
      </c>
      <c r="C82" s="129" t="str">
        <f>'1. All Data'!D92</f>
        <v>Average Time To Pay Creditors: Within 10 days of receipt of invoice</v>
      </c>
      <c r="D82" s="125" t="str">
        <f>'1. All Data'!H92</f>
        <v>On Track to be Achieved</v>
      </c>
      <c r="E82" s="97"/>
      <c r="F82" s="126" t="str">
        <f>'1. All Data'!M92</f>
        <v>In Danger of Falling Behind Target</v>
      </c>
      <c r="G82" s="98"/>
      <c r="H82" s="127">
        <f>'1. All Data'!R92</f>
        <v>0</v>
      </c>
      <c r="I82" s="98"/>
      <c r="J82" s="127">
        <f>'1. All Data'!V92</f>
        <v>0</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VFM03</v>
      </c>
      <c r="B83" s="128" t="str">
        <f>'1. All Data'!C93</f>
        <v>Refresh Member Training</v>
      </c>
      <c r="C83" s="129" t="str">
        <f>'1. All Data'!D93</f>
        <v xml:space="preserve">Develop new approach to training </v>
      </c>
      <c r="D83" s="125" t="str">
        <f>'1. All Data'!H93</f>
        <v>On Track to be Achieved</v>
      </c>
      <c r="E83" s="98"/>
      <c r="F83" s="126" t="str">
        <f>'1. All Data'!M93</f>
        <v>On track to be achieved</v>
      </c>
      <c r="G83" s="122"/>
      <c r="H83" s="127">
        <f>'1. All Data'!R93</f>
        <v>0</v>
      </c>
      <c r="I83" s="122"/>
      <c r="J83" s="127">
        <f>'1. All Data'!V93</f>
        <v>0</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VFM04</v>
      </c>
      <c r="B84" s="128" t="str">
        <f>'1. All Data'!C94</f>
        <v>Optimising our services and assets</v>
      </c>
      <c r="C84" s="129" t="str">
        <f>'1. All Data'!D94</f>
        <v>Carry out an options appraisal of potential shared services</v>
      </c>
      <c r="D84" s="125" t="str">
        <f>'1. All Data'!H94</f>
        <v>Not Yet Due</v>
      </c>
      <c r="E84" s="97"/>
      <c r="F84" s="126" t="str">
        <f>'1. All Data'!M94</f>
        <v>Not Yet Due</v>
      </c>
      <c r="G84" s="98"/>
      <c r="H84" s="127">
        <f>'1. All Data'!R94</f>
        <v>0</v>
      </c>
      <c r="I84" s="98"/>
      <c r="J84" s="127">
        <f>'1. All Data'!V94</f>
        <v>0</v>
      </c>
    </row>
    <row r="85" spans="1:46" ht="99.75" customHeight="1">
      <c r="A85" s="96" t="str">
        <f>'1. All Data'!B95</f>
        <v>VFM05</v>
      </c>
      <c r="B85" s="128" t="str">
        <f>'1. All Data'!C95</f>
        <v>Optimising our services and assets</v>
      </c>
      <c r="C85" s="129" t="str">
        <f>'1. All Data'!D95</f>
        <v>Carry out a review of our land and property investments</v>
      </c>
      <c r="D85" s="125" t="str">
        <f>'1. All Data'!H95</f>
        <v>Not Yet Due</v>
      </c>
      <c r="E85" s="97"/>
      <c r="F85" s="126" t="str">
        <f>'1. All Data'!M95</f>
        <v>Not Yet Due</v>
      </c>
      <c r="G85" s="98"/>
      <c r="H85" s="127">
        <f>'1. All Data'!R95</f>
        <v>0</v>
      </c>
      <c r="I85" s="98"/>
      <c r="J85" s="127">
        <f>'1. All Data'!V95</f>
        <v>0</v>
      </c>
    </row>
    <row r="86" spans="1:46" ht="99.75" customHeight="1">
      <c r="A86" s="96" t="str">
        <f>'1. All Data'!B96</f>
        <v>VFM06</v>
      </c>
      <c r="B86" s="128" t="str">
        <f>'1. All Data'!C96</f>
        <v>Working in partnership with the County Council and other districts</v>
      </c>
      <c r="C86" s="129" t="str">
        <f>'1. All Data'!D96</f>
        <v>Receive an update on the ‘single front door’ policy so that residents across Staffordshire gain an improved experience interacting with local government</v>
      </c>
      <c r="D86" s="125" t="str">
        <f>'1. All Data'!H96</f>
        <v>Not Yet Due</v>
      </c>
      <c r="E86" s="97"/>
      <c r="F86" s="126" t="str">
        <f>'1. All Data'!M96</f>
        <v>On Track to be Achieved</v>
      </c>
      <c r="G86" s="106"/>
      <c r="H86" s="127">
        <f>'1. All Data'!R96</f>
        <v>0</v>
      </c>
      <c r="I86" s="98"/>
      <c r="J86" s="127">
        <f>'1. All Data'!V96</f>
        <v>0</v>
      </c>
    </row>
    <row r="87" spans="1:46" ht="99.75" customHeight="1">
      <c r="A87" s="96" t="str">
        <f>'1. All Data'!B97</f>
        <v>VFM07</v>
      </c>
      <c r="B87" s="128" t="str">
        <f>'1. All Data'!C97</f>
        <v>Annual review of the constitution</v>
      </c>
      <c r="C87" s="129" t="str">
        <f>'1. All Data'!D97</f>
        <v>Members of the constitution cross-party working group to meet to establish changes to the constitution</v>
      </c>
      <c r="D87" s="125" t="str">
        <f>'1. All Data'!H97</f>
        <v>On Track to be Achieved</v>
      </c>
      <c r="E87" s="97"/>
      <c r="F87" s="126" t="str">
        <f>'1. All Data'!M97</f>
        <v>On Track to be Achieved</v>
      </c>
      <c r="G87" s="98"/>
      <c r="H87" s="127">
        <f>'1. All Data'!R97</f>
        <v>0</v>
      </c>
      <c r="I87" s="98"/>
      <c r="J87" s="127">
        <f>'1. All Data'!V97</f>
        <v>0</v>
      </c>
    </row>
    <row r="88" spans="1:46" ht="99.75" customHeight="1">
      <c r="A88" s="96" t="str">
        <f>'1. All Data'!B98</f>
        <v>VFM08</v>
      </c>
      <c r="B88" s="128" t="str">
        <f>'1. All Data'!C98</f>
        <v xml:space="preserve">Progressing to Digital Maturity </v>
      </c>
      <c r="C88" s="129" t="str">
        <f>'1. All Data'!D98</f>
        <v>Upgrade the Council website and go live with new version</v>
      </c>
      <c r="D88" s="125" t="str">
        <f>'1. All Data'!H98</f>
        <v>On Track to be Achieved</v>
      </c>
      <c r="E88" s="97"/>
      <c r="F88" s="126" t="str">
        <f>'1. All Data'!M98</f>
        <v>In Danger of Falling Behind Target</v>
      </c>
      <c r="G88" s="98"/>
      <c r="H88" s="127">
        <f>'1. All Data'!R98</f>
        <v>0</v>
      </c>
      <c r="I88" s="98"/>
      <c r="J88" s="127">
        <f>'1. All Data'!V98</f>
        <v>0</v>
      </c>
    </row>
    <row r="89" spans="1:46" ht="99.75" customHeight="1">
      <c r="A89" s="96" t="str">
        <f>'1. All Data'!B99</f>
        <v>VFM09</v>
      </c>
      <c r="B89" s="128" t="str">
        <f>'1. All Data'!C99</f>
        <v xml:space="preserve">Progressing to Digital Maturity </v>
      </c>
      <c r="C89" s="129" t="str">
        <f>'1. All Data'!D99</f>
        <v>Feasibility study regarding an Elected Member intranet</v>
      </c>
      <c r="D89" s="125" t="str">
        <f>'1. All Data'!H99</f>
        <v>Fully Achieved</v>
      </c>
      <c r="E89" s="98"/>
      <c r="F89" s="126" t="str">
        <f>'1. All Data'!M99</f>
        <v>Fully Achieved</v>
      </c>
      <c r="G89" s="98"/>
      <c r="H89" s="127">
        <f>'1. All Data'!R99</f>
        <v>0</v>
      </c>
      <c r="I89" s="98"/>
      <c r="J89" s="127">
        <f>'1. All Data'!V99</f>
        <v>0</v>
      </c>
    </row>
    <row r="90" spans="1:46" ht="99.75" customHeight="1">
      <c r="A90" s="96" t="str">
        <f>'1. All Data'!B101</f>
        <v>VFM11</v>
      </c>
      <c r="B90" s="128" t="str">
        <f>'1. All Data'!C101</f>
        <v xml:space="preserve">Progressing to Digital Maturity </v>
      </c>
      <c r="C90" s="129" t="str">
        <f>'1. All Data'!D101</f>
        <v>Map based reporting options appraisal</v>
      </c>
      <c r="D90" s="125" t="str">
        <f>'1. All Data'!H101</f>
        <v>Not Yet Due</v>
      </c>
      <c r="E90" s="97"/>
      <c r="F90" s="126" t="str">
        <f>'1. All Data'!M101</f>
        <v>Fully Achieved</v>
      </c>
      <c r="G90" s="98"/>
      <c r="H90" s="127">
        <f>'1. All Data'!R101</f>
        <v>0</v>
      </c>
      <c r="I90" s="98"/>
      <c r="J90" s="127">
        <f>'1. All Data'!V101</f>
        <v>0</v>
      </c>
    </row>
    <row r="91" spans="1:46" ht="99.75" customHeight="1">
      <c r="A91" s="96" t="str">
        <f>'1. All Data'!B102</f>
        <v>VFM12</v>
      </c>
      <c r="B91" s="128" t="str">
        <f>'1. All Data'!C102</f>
        <v xml:space="preserve">Progressing to Digital Maturity </v>
      </c>
      <c r="C91" s="129" t="str">
        <f>'1. All Data'!D102</f>
        <v>Council ‘app’ options appraisal</v>
      </c>
      <c r="D91" s="125" t="str">
        <f>'1. All Data'!H102</f>
        <v>Not Yet Due</v>
      </c>
      <c r="E91" s="98"/>
      <c r="F91" s="126" t="str">
        <f>'1. All Data'!M102</f>
        <v>Not Yet Due</v>
      </c>
      <c r="G91" s="98"/>
      <c r="H91" s="127">
        <f>'1. All Data'!R102</f>
        <v>0</v>
      </c>
      <c r="I91" s="98"/>
      <c r="J91" s="127">
        <f>'1. All Data'!V102</f>
        <v>0</v>
      </c>
    </row>
    <row r="92" spans="1:46" ht="99.75" customHeight="1">
      <c r="A92" s="96" t="str">
        <f>'1. All Data'!B103</f>
        <v>VFM13</v>
      </c>
      <c r="B92" s="128" t="str">
        <f>'1. All Data'!C103</f>
        <v>Set the MTFS for 2022/23 onwards</v>
      </c>
      <c r="C92" s="129" t="str">
        <f>'1. All Data'!D103</f>
        <v>Set Budget for Council Approval</v>
      </c>
      <c r="D92" s="125" t="str">
        <f>'1. All Data'!H103</f>
        <v>Not Yet Due</v>
      </c>
      <c r="E92" s="97"/>
      <c r="F92" s="126" t="str">
        <f>'1. All Data'!M103</f>
        <v>On Track to be Achieved</v>
      </c>
      <c r="G92" s="98"/>
      <c r="H92" s="127">
        <f>'1. All Data'!R103</f>
        <v>0</v>
      </c>
      <c r="I92" s="98"/>
      <c r="J92" s="127">
        <f>'1. All Data'!V103</f>
        <v>0</v>
      </c>
    </row>
    <row r="93" spans="1:46" ht="99.75" customHeight="1">
      <c r="A93" s="96" t="str">
        <f>'1. All Data'!B104</f>
        <v>VFM14</v>
      </c>
      <c r="B93" s="128" t="str">
        <f>'1. All Data'!C104</f>
        <v xml:space="preserve">Having an approved Statement of Accounts </v>
      </c>
      <c r="C93" s="129" t="str">
        <f>'1. All Data'!D104</f>
        <v xml:space="preserve">Submit Statement of Accounts to Audit Committee by the earlier Statutory Deadline </v>
      </c>
      <c r="D93" s="125" t="str">
        <f>'1. All Data'!H104</f>
        <v>On Track to be Achieved</v>
      </c>
      <c r="E93" s="97"/>
      <c r="F93" s="126" t="str">
        <f>'1. All Data'!M104</f>
        <v>On Track to be Achieved</v>
      </c>
      <c r="G93" s="98"/>
      <c r="H93" s="127">
        <f>'1. All Data'!R104</f>
        <v>0</v>
      </c>
      <c r="I93" s="98"/>
      <c r="J93" s="127">
        <f>'1. All Data'!V104</f>
        <v>0</v>
      </c>
    </row>
    <row r="94" spans="1:46" ht="99.75" customHeight="1">
      <c r="A94" s="96" t="str">
        <f>'1. All Data'!B105</f>
        <v>VFM15</v>
      </c>
      <c r="B94" s="128" t="str">
        <f>'1. All Data'!C105</f>
        <v xml:space="preserve">Maintaining Good Financial Stewardship </v>
      </c>
      <c r="C94" s="129" t="str">
        <f>'1. All Data'!D105</f>
        <v>Carry out a review of our Treasury Management approach and strategy</v>
      </c>
      <c r="D94" s="125" t="str">
        <f>'1. All Data'!H105</f>
        <v>Not Yet Due</v>
      </c>
      <c r="E94" s="97"/>
      <c r="F94" s="126" t="str">
        <f>'1. All Data'!M105</f>
        <v>Not Yet Due</v>
      </c>
      <c r="G94" s="98"/>
      <c r="H94" s="127">
        <f>'1. All Data'!R105</f>
        <v>0</v>
      </c>
      <c r="I94" s="98"/>
      <c r="J94" s="127">
        <f>'1. All Data'!V105</f>
        <v>0</v>
      </c>
    </row>
    <row r="95" spans="1:46" ht="99.75" customHeight="1">
      <c r="A95" s="96" t="str">
        <f>'1. All Data'!B106</f>
        <v>VFM16</v>
      </c>
      <c r="B95" s="128" t="str">
        <f>'1. All Data'!C106</f>
        <v>ICT, HR and selective licensing Business Support</v>
      </c>
      <c r="C95" s="129" t="str">
        <f>'1. All Data'!D106</f>
        <v>Continue with and review strategic support to OWBC: Provide health-check on service</v>
      </c>
      <c r="D95" s="125" t="str">
        <f>'1. All Data'!H106</f>
        <v>On Track to be Achieved</v>
      </c>
      <c r="E95" s="97"/>
      <c r="F95" s="126" t="str">
        <f>'1. All Data'!M106</f>
        <v>On Track to be Achieved</v>
      </c>
      <c r="G95" s="98"/>
      <c r="H95" s="127">
        <f>'1. All Data'!R106</f>
        <v>0</v>
      </c>
      <c r="I95" s="98"/>
      <c r="J95" s="127">
        <f>'1. All Data'!V106</f>
        <v>0</v>
      </c>
    </row>
    <row r="96" spans="1:46" ht="99.75" customHeight="1">
      <c r="A96" s="96" t="str">
        <f>'1. All Data'!B107</f>
        <v>VFM17</v>
      </c>
      <c r="B96" s="128" t="str">
        <f>'1. All Data'!C107</f>
        <v>Licensing and Enforcement Activities - CCTV</v>
      </c>
      <c r="C96" s="129" t="str">
        <f>'1. All Data'!D107</f>
        <v>Renew the CCTV contracts for monitoring and maintenance of fixed site CCTV cameras and procure a new ‘fleet’ of fixed site digital CCTV cameras and infrastructure</v>
      </c>
      <c r="D96" s="125" t="str">
        <f>'1. All Data'!H107</f>
        <v>On Track to be Achieved</v>
      </c>
      <c r="E96" s="98"/>
      <c r="F96" s="126" t="str">
        <f>'1. All Data'!M107</f>
        <v>On Track to be Achieved</v>
      </c>
      <c r="G96" s="98"/>
      <c r="H96" s="127">
        <f>'1. All Data'!R107</f>
        <v>0</v>
      </c>
      <c r="I96" s="98"/>
      <c r="J96" s="127">
        <f>'1. All Data'!V107</f>
        <v>0</v>
      </c>
    </row>
    <row r="97" spans="1:10" ht="99.75" customHeight="1">
      <c r="A97" s="96" t="str">
        <f>'1. All Data'!B108</f>
        <v>VFM18</v>
      </c>
      <c r="B97" s="128" t="str">
        <f>'1. All Data'!C108</f>
        <v>Licensing and Enforcement Activities - CCTV</v>
      </c>
      <c r="C97" s="129" t="str">
        <f>'1. All Data'!D108</f>
        <v>Monitor the effectiveness of the mobile CCTV provision including the number of camera deployments. Report to Cabinet</v>
      </c>
      <c r="D97" s="125" t="str">
        <f>'1. All Data'!H108</f>
        <v>On Track to be Achieved</v>
      </c>
      <c r="E97" s="98"/>
      <c r="F97" s="126" t="str">
        <f>'1. All Data'!M108</f>
        <v>On Track to be Achieved</v>
      </c>
      <c r="G97" s="98"/>
      <c r="H97" s="127">
        <f>'1. All Data'!R108</f>
        <v>0</v>
      </c>
      <c r="I97" s="98"/>
      <c r="J97" s="127">
        <f>'1. All Data'!V108</f>
        <v>0</v>
      </c>
    </row>
    <row r="98" spans="1:10" ht="99.75" customHeight="1">
      <c r="A98" s="96" t="str">
        <f>'1. All Data'!B109</f>
        <v>VFM19</v>
      </c>
      <c r="B98" s="128" t="str">
        <f>'1. All Data'!C109</f>
        <v>Car Parking related initiatives</v>
      </c>
      <c r="C98" s="129" t="str">
        <f>'1. All Data'!D109</f>
        <v>Initiate a rolling programme of condition surveys across Council car parks. Year 1 to include Central Area (Coopers) and Trinity Road</v>
      </c>
      <c r="D98" s="125" t="str">
        <f>'1. All Data'!H109</f>
        <v>Not Yet Due</v>
      </c>
      <c r="E98" s="97"/>
      <c r="F98" s="126" t="str">
        <f>'1. All Data'!M109</f>
        <v>Fully Achieved</v>
      </c>
      <c r="G98" s="106"/>
      <c r="H98" s="127">
        <f>'1. All Data'!R109</f>
        <v>0</v>
      </c>
      <c r="I98" s="98"/>
      <c r="J98" s="127">
        <f>'1. All Data'!V109</f>
        <v>0</v>
      </c>
    </row>
    <row r="99" spans="1:10" ht="99.75" customHeight="1">
      <c r="A99" s="96" t="str">
        <f>'1. All Data'!B110</f>
        <v>VFM20</v>
      </c>
      <c r="B99" s="128" t="str">
        <f>'1. All Data'!C110</f>
        <v>Development of the Selective Licensing Scheme</v>
      </c>
      <c r="C99" s="129" t="str">
        <f>'1. All Data'!D110</f>
        <v>Provide a fifth year report on the current Selective Licensing Scheme</v>
      </c>
      <c r="D99" s="125" t="str">
        <f>'1. All Data'!H110</f>
        <v>Not Yet Due</v>
      </c>
      <c r="E99" s="98"/>
      <c r="F99" s="126" t="str">
        <f>'1. All Data'!M110</f>
        <v>On Track to be Achieved</v>
      </c>
      <c r="G99" s="105"/>
      <c r="H99" s="127">
        <f>'1. All Data'!R110</f>
        <v>0</v>
      </c>
      <c r="I99" s="98"/>
      <c r="J99" s="127">
        <f>'1. All Data'!V110</f>
        <v>0</v>
      </c>
    </row>
    <row r="100" spans="1:10" ht="99.75" customHeight="1">
      <c r="A100" s="96" t="str">
        <f>'1. All Data'!B111</f>
        <v>VFM21</v>
      </c>
      <c r="B100" s="128" t="str">
        <f>'1. All Data'!C111</f>
        <v>Development of the Selective Licensing Scheme</v>
      </c>
      <c r="C100" s="129" t="str">
        <f>'1. All Data'!D111</f>
        <v>Subject to consultation consider the re-designation of the pilot Selective Licensing Scheme pilot in Anglesey ward</v>
      </c>
      <c r="D100" s="125" t="str">
        <f>'1. All Data'!H111</f>
        <v>On Track to be Achieved</v>
      </c>
      <c r="E100" s="98"/>
      <c r="F100" s="126" t="str">
        <f>'1. All Data'!M111</f>
        <v>Fully Achieved</v>
      </c>
      <c r="G100" s="98"/>
      <c r="H100" s="127">
        <f>'1. All Data'!R111</f>
        <v>0</v>
      </c>
      <c r="I100" s="98"/>
      <c r="J100" s="127">
        <f>'1. All Data'!V111</f>
        <v>0</v>
      </c>
    </row>
    <row r="101" spans="1:10" ht="99.75" customHeight="1">
      <c r="A101" s="96" t="str">
        <f>'1. All Data'!B112</f>
        <v>VFM22</v>
      </c>
      <c r="B101" s="128" t="str">
        <f>'1. All Data'!C112</f>
        <v>Development of the Selective Licensing Scheme</v>
      </c>
      <c r="C101" s="129" t="str">
        <f>'1. All Data'!D112</f>
        <v>Subject to consultation, consider the designation of a new Selective Licensing Scheme. Potential areas to include; Goodman Street, Waterloo Street, Uxbridge Street, Shobnall Road and Branston Road</v>
      </c>
      <c r="D101" s="125" t="str">
        <f>'1. All Data'!H112</f>
        <v>On Track to be Achieved</v>
      </c>
      <c r="E101" s="98"/>
      <c r="F101" s="126" t="str">
        <f>'1. All Data'!M112</f>
        <v>Fully Achieved</v>
      </c>
      <c r="G101" s="98"/>
      <c r="H101" s="127">
        <f>'1. All Data'!R112</f>
        <v>0</v>
      </c>
      <c r="I101" s="98"/>
      <c r="J101" s="127">
        <f>'1. All Data'!V112</f>
        <v>0</v>
      </c>
    </row>
    <row r="102" spans="1:10" ht="99.75" customHeight="1">
      <c r="A102" s="96" t="str">
        <f>'1. All Data'!B113</f>
        <v>VFM23</v>
      </c>
      <c r="B102" s="128" t="str">
        <f>'1. All Data'!C113</f>
        <v xml:space="preserve">Continue to Maximise Income Through Effective Collection Processes (Previously BVPI 9) </v>
      </c>
      <c r="C102" s="129" t="str">
        <f>'1. All Data'!D113</f>
        <v xml:space="preserve">Collection Rates of Council Tax : 98% </v>
      </c>
      <c r="D102" s="125" t="str">
        <f>'1. All Data'!H113</f>
        <v>On Track to be Achieved</v>
      </c>
      <c r="E102" s="97"/>
      <c r="F102" s="126" t="str">
        <f>'1. All Data'!M113</f>
        <v>On Track to be Achieved</v>
      </c>
      <c r="G102" s="98"/>
      <c r="H102" s="127">
        <f>'1. All Data'!R113</f>
        <v>0</v>
      </c>
      <c r="I102" s="98"/>
      <c r="J102" s="127">
        <f>'1. All Data'!V113</f>
        <v>0</v>
      </c>
    </row>
    <row r="103" spans="1:10" ht="99.75" customHeight="1">
      <c r="A103" s="96" t="str">
        <f>'1. All Data'!B114</f>
        <v>VFM24</v>
      </c>
      <c r="B103" s="128" t="str">
        <f>'1. All Data'!C114</f>
        <v xml:space="preserve">Continue to Maximise Income Through Effective Collection Processes (Previously BVPI 10) </v>
      </c>
      <c r="C103" s="129" t="str">
        <f>'1. All Data'!D114</f>
        <v>Collection Rates of NNDR: 99%</v>
      </c>
      <c r="D103" s="125" t="str">
        <f>'1. All Data'!H114</f>
        <v>On Track to be Achieved</v>
      </c>
      <c r="E103" s="97"/>
      <c r="F103" s="126" t="str">
        <f>'1. All Data'!M114</f>
        <v>On Track to be Achieved</v>
      </c>
      <c r="G103" s="98"/>
      <c r="H103" s="127">
        <f>'1. All Data'!R114</f>
        <v>0</v>
      </c>
      <c r="I103" s="98"/>
      <c r="J103" s="127">
        <f>'1. All Data'!V114</f>
        <v>0</v>
      </c>
    </row>
    <row r="104" spans="1:10" ht="99.75" customHeight="1">
      <c r="A104" s="96" t="str">
        <f>'1. All Data'!B115</f>
        <v>VFM25a</v>
      </c>
      <c r="B104" s="128" t="str">
        <f>'1. All Data'!C115</f>
        <v>Continue to Maximise Income Through Effective Collection Processes:</v>
      </c>
      <c r="C104" s="129" t="str">
        <f>'1. All Data'!D115</f>
        <v>Former Years Arrears for: Council Tax: £2,500,000</v>
      </c>
      <c r="D104" s="125" t="str">
        <f>'1. All Data'!H115</f>
        <v>On Track to be Achieved</v>
      </c>
      <c r="E104" s="98"/>
      <c r="F104" s="126" t="str">
        <f>'1. All Data'!M115</f>
        <v>On Track to be Achieved</v>
      </c>
      <c r="G104" s="98"/>
      <c r="H104" s="127">
        <f>'1. All Data'!R115</f>
        <v>0</v>
      </c>
      <c r="I104" s="98"/>
      <c r="J104" s="127">
        <f>'1. All Data'!V115</f>
        <v>0</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'Q1 Summary'!Print_Area</vt:lpstr>
      <vt:lpstr>'Q2 Summary'!Print_Area</vt:lpstr>
      <vt:lpstr>'Q3 Summary'!Print_Area</vt:lpstr>
      <vt:lpstr>'Q4 Summary'!Print_Area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Jennifer Norman</cp:lastModifiedBy>
  <cp:lastPrinted>2022-06-28T17:29:56Z</cp:lastPrinted>
  <dcterms:created xsi:type="dcterms:W3CDTF">2019-02-13T13:28:16Z</dcterms:created>
  <dcterms:modified xsi:type="dcterms:W3CDTF">2022-12-01T12:53:30Z</dcterms:modified>
</cp:coreProperties>
</file>